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mFME+2O9nMr7KrnzasGaBCdRnn3v+FcL58xklKMDgQdwaRbs4BS425ocHBkJHr01XV1xAZA3fiN5rfFDu2cEag==" workbookSaltValue="lwsxuFB4VH6chsaC6Unt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A11" i="8"/>
  <c r="AZ11" i="8"/>
  <c r="AY11" i="8"/>
  <c r="BB9" i="8"/>
  <c r="BE9" i="8" s="1"/>
  <c r="BA9" i="8"/>
  <c r="BD9" i="8" s="1"/>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P13" i="17"/>
  <c r="BD17" i="8"/>
  <c r="AB19" i="19"/>
  <c r="ER19" i="8"/>
  <c r="EL19" i="8"/>
  <c r="AC11" i="11"/>
  <c r="EQ19" i="8"/>
  <c r="AP12" i="11"/>
  <c r="Y11" i="11"/>
  <c r="AT18" i="17"/>
  <c r="N10" i="11"/>
  <c r="N9" i="11"/>
  <c r="T10" i="21"/>
  <c r="N11" i="11"/>
  <c r="ES19" i="8"/>
  <c r="C18" i="7"/>
  <c r="S19" i="13"/>
  <c r="AG19" i="19"/>
  <c r="F9" i="11"/>
  <c r="CI19" i="8"/>
  <c r="EP19" i="8"/>
  <c r="ER19" i="13"/>
  <c r="AL13" i="16"/>
  <c r="S13" i="16"/>
  <c r="H18" i="16"/>
  <c r="P13" i="16"/>
  <c r="AN13" i="20"/>
  <c r="Z13" i="17"/>
  <c r="F9" i="2"/>
  <c r="AC10" i="11"/>
  <c r="T19" i="8"/>
  <c r="AJ19" i="8"/>
  <c r="T13" i="12"/>
  <c r="AY18" i="8"/>
  <c r="BF15" i="8"/>
  <c r="AZ18" i="13"/>
  <c r="BG15" i="8"/>
  <c r="AV18" i="17"/>
  <c r="J18" i="17"/>
  <c r="T13" i="16"/>
  <c r="AP13" i="16"/>
  <c r="F11" i="11"/>
  <c r="AQ11" i="11" s="1"/>
  <c r="BF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AW18" i="21"/>
  <c r="B16" i="6"/>
  <c r="BG16" i="8"/>
  <c r="H13" i="12"/>
  <c r="C17" i="6"/>
  <c r="AO9" i="11"/>
  <c r="B17" i="6"/>
  <c r="N13" i="2"/>
  <c r="AL11" i="11"/>
  <c r="H15" i="7"/>
  <c r="H12" i="2"/>
  <c r="C10" i="6"/>
  <c r="I10" i="12" s="1"/>
  <c r="E18" i="2"/>
  <c r="F18" i="2" s="1"/>
  <c r="AO17" i="11"/>
  <c r="AL15" i="11"/>
  <c r="L16" i="14"/>
  <c r="M18" i="2"/>
  <c r="M19" i="2" s="1"/>
  <c r="N18" i="2"/>
  <c r="N19" i="2" s="1"/>
  <c r="BE15" i="13"/>
  <c r="B12" i="6"/>
  <c r="AO12" i="11"/>
  <c r="E15" i="6"/>
  <c r="AL10" i="11"/>
  <c r="BD9" i="13"/>
  <c r="BD12" i="8"/>
  <c r="H12" i="7" s="1"/>
  <c r="C11" i="6"/>
  <c r="B9" i="6"/>
  <c r="E11" i="6"/>
  <c r="L12" i="14"/>
  <c r="R8" i="9"/>
  <c r="F17" i="17"/>
  <c r="AQ17" i="17" s="1"/>
  <c r="F16" i="17"/>
  <c r="AQ16" i="17" s="1"/>
  <c r="BG16" i="13"/>
  <c r="BE16" i="13"/>
  <c r="H15" i="2"/>
  <c r="AO16" i="11"/>
  <c r="E9" i="6"/>
  <c r="BA13" i="8"/>
  <c r="BF9" i="13"/>
  <c r="D11" i="12"/>
  <c r="D12" i="12"/>
  <c r="BF11" i="8"/>
  <c r="J11" i="7" s="1"/>
  <c r="BF9" i="8"/>
  <c r="J9" i="7" s="1"/>
  <c r="BG9" i="8"/>
  <c r="K9" i="7" s="1"/>
  <c r="BD11" i="8"/>
  <c r="BE11" i="8"/>
  <c r="I11" i="7" s="1"/>
  <c r="BG12" i="8"/>
  <c r="K12" i="7" s="1"/>
  <c r="BE12" i="8"/>
  <c r="I12" i="7" s="1"/>
  <c r="L11" i="14"/>
  <c r="F12" i="11"/>
  <c r="AQ12" i="11" s="1"/>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Q10" i="11"/>
  <c r="E13" i="2"/>
  <c r="B10" i="6"/>
  <c r="K10" i="7"/>
  <c r="E10" i="6"/>
  <c r="K10" i="12" s="1"/>
  <c r="AO10" i="11"/>
  <c r="G13" i="21"/>
  <c r="G20" i="21" s="1"/>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W13" i="11"/>
  <c r="F13" i="12" s="1"/>
  <c r="D18" i="3"/>
  <c r="E18" i="3" s="1"/>
  <c r="U12" i="17"/>
  <c r="W13" i="16"/>
  <c r="M19" i="8"/>
  <c r="F18" i="7"/>
  <c r="AX19" i="21"/>
  <c r="BD21" i="21"/>
  <c r="AT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S18" i="20"/>
  <c r="S19" i="20" s="1"/>
  <c r="W18" i="20"/>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AS16" i="20"/>
  <c r="AQ19" i="20"/>
  <c r="D11" i="6"/>
  <c r="E11" i="3"/>
  <c r="BH16" i="16"/>
  <c r="BI16" i="11"/>
  <c r="BI11" i="11"/>
  <c r="P19" i="8"/>
  <c r="T10" i="11"/>
  <c r="AM10" i="11"/>
  <c r="BI12" i="11"/>
  <c r="BA19" i="19"/>
  <c r="BG19" i="19" s="1"/>
  <c r="BD13" i="19"/>
  <c r="BF13" i="19"/>
  <c r="AD19" i="8"/>
  <c r="V19" i="8"/>
  <c r="V17" i="20"/>
  <c r="U15" i="17"/>
  <c r="U18" i="17" s="1"/>
  <c r="AA10" i="21"/>
  <c r="D13" i="3"/>
  <c r="N19" i="8"/>
  <c r="G19" i="7" s="1"/>
  <c r="S12" i="17"/>
  <c r="BM11" i="11"/>
  <c r="BF9" i="11"/>
  <c r="J11" i="2"/>
  <c r="F11" i="2"/>
  <c r="BE16" i="8"/>
  <c r="I16" i="7" s="1"/>
  <c r="BB18" i="8"/>
  <c r="AK13" i="11"/>
  <c r="BA18" i="8"/>
  <c r="AR19" i="13"/>
  <c r="AJ19" i="13"/>
  <c r="N18" i="17"/>
  <c r="I9" i="3"/>
  <c r="AN19" i="8"/>
  <c r="M18" i="16"/>
  <c r="BB19" i="16"/>
  <c r="E18" i="17"/>
  <c r="AH19" i="13"/>
  <c r="R19" i="13"/>
  <c r="AP19" i="13"/>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L19" i="17"/>
  <c r="AH19" i="16"/>
  <c r="I13" i="17"/>
  <c r="BF12" i="13"/>
  <c r="G18" i="16"/>
  <c r="AX13" i="16"/>
  <c r="BQ13" i="16"/>
  <c r="BQ18" i="16"/>
  <c r="BT18" i="16"/>
  <c r="AF18" i="17"/>
  <c r="Z13" i="16"/>
  <c r="U11" i="17"/>
  <c r="W19" i="21"/>
  <c r="R13" i="16"/>
  <c r="AR13" i="17"/>
  <c r="U17" i="17"/>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0" i="11"/>
  <c r="U17" i="11"/>
  <c r="O10" i="11"/>
  <c r="BR20" i="16"/>
  <c r="AU20" i="17"/>
  <c r="BP20" i="16"/>
  <c r="O17" i="11"/>
  <c r="AW20" i="11"/>
  <c r="AV20" i="21"/>
  <c r="H20" i="17"/>
  <c r="AX20" i="21"/>
  <c r="D19" i="12" l="1"/>
  <c r="I17" i="12"/>
  <c r="F19" i="7"/>
  <c r="B19" i="7"/>
  <c r="D19" i="5"/>
  <c r="K12" i="12"/>
  <c r="BF13" i="8"/>
  <c r="H13" i="2"/>
  <c r="B18" i="6"/>
  <c r="T9" i="11"/>
  <c r="BH11" i="16"/>
  <c r="BH17" i="16"/>
  <c r="BM16" i="11"/>
  <c r="BL17" i="11"/>
  <c r="P17" i="11" s="1"/>
  <c r="BF10" i="11"/>
  <c r="R12" i="14"/>
  <c r="R13" i="14" s="1"/>
  <c r="BM12" i="11"/>
  <c r="V9" i="11"/>
  <c r="BJ15" i="11"/>
  <c r="AP15" i="20"/>
  <c r="R17" i="20"/>
  <c r="AZ9" i="11"/>
  <c r="AZ15" i="11"/>
  <c r="AZ18" i="11" s="1"/>
  <c r="BV17" i="16"/>
  <c r="BV18" i="16" s="1"/>
  <c r="BV12" i="16"/>
  <c r="BV11" i="16"/>
  <c r="S11" i="17"/>
  <c r="X15" i="17"/>
  <c r="T16" i="11"/>
  <c r="Q17" i="17"/>
  <c r="Q18" i="17" s="1"/>
  <c r="Q19" i="17" s="1"/>
  <c r="BI9" i="11"/>
  <c r="BJ10" i="11"/>
  <c r="BH11" i="11"/>
  <c r="S17" i="17"/>
  <c r="BH12" i="16"/>
  <c r="U9" i="17"/>
  <c r="BF11" i="11"/>
  <c r="BL9" i="11"/>
  <c r="BG10" i="11"/>
  <c r="P17" i="17"/>
  <c r="BK12" i="11"/>
  <c r="BK9" i="11"/>
  <c r="AO12" i="17"/>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K10" i="11"/>
  <c r="X12" i="17"/>
  <c r="L12" i="2"/>
  <c r="BM9" i="11"/>
  <c r="S12" i="14"/>
  <c r="U10" i="17"/>
  <c r="X9" i="17"/>
  <c r="V12" i="11"/>
  <c r="V19" i="11"/>
  <c r="S18" i="14"/>
  <c r="U12" i="21"/>
  <c r="X11" i="16"/>
  <c r="X10" i="16"/>
  <c r="R9" i="14"/>
  <c r="V16" i="16"/>
  <c r="BM10" i="11"/>
  <c r="AP12" i="21"/>
  <c r="BH12" i="11"/>
  <c r="BH13" i="11" s="1"/>
  <c r="X17" i="16"/>
  <c r="V16" i="20"/>
  <c r="U16" i="21"/>
  <c r="U18" i="21" s="1"/>
  <c r="BJ9" i="11"/>
  <c r="BG11" i="11"/>
  <c r="AQ18" i="21"/>
  <c r="AO11" i="17"/>
  <c r="BG17" i="11"/>
  <c r="AM17" i="11"/>
  <c r="R15" i="14"/>
  <c r="J11" i="12"/>
  <c r="X18" i="20"/>
  <c r="T16" i="20"/>
  <c r="BE13" i="8"/>
  <c r="X18" i="17"/>
  <c r="T18" i="11"/>
  <c r="AZ10" i="11"/>
  <c r="Q18" i="11"/>
  <c r="X13" i="16"/>
  <c r="AA18" i="21"/>
  <c r="BH18" i="16"/>
  <c r="X16" i="16"/>
  <c r="AM13" i="11"/>
  <c r="AO10" i="17"/>
  <c r="AP13" i="21"/>
  <c r="K9" i="12"/>
  <c r="AP18" i="20"/>
  <c r="AP13" i="20"/>
  <c r="AO9" i="17"/>
  <c r="X13" i="17"/>
  <c r="AM12" i="11"/>
  <c r="AM16" i="11"/>
  <c r="X12" i="16"/>
  <c r="AZ17" i="11"/>
  <c r="V12" i="16"/>
  <c r="V15" i="16"/>
  <c r="AA9" i="16"/>
  <c r="X16" i="17"/>
  <c r="T11" i="11"/>
  <c r="AM9" i="11"/>
  <c r="R11" i="14"/>
  <c r="S10" i="14"/>
  <c r="V10" i="14" s="1"/>
  <c r="V15" i="20"/>
  <c r="V18" i="20" s="1"/>
  <c r="L17" i="2"/>
  <c r="L9" i="2"/>
  <c r="S10" i="17"/>
  <c r="X16" i="20"/>
  <c r="U10" i="21"/>
  <c r="T17" i="20"/>
  <c r="AA17" i="16"/>
  <c r="S15" i="14"/>
  <c r="V15" i="14" s="1"/>
  <c r="L16" i="2"/>
  <c r="L10" i="2"/>
  <c r="BJ16" i="11"/>
  <c r="BH16" i="11"/>
  <c r="BH18" i="11" s="1"/>
  <c r="BM17" i="11"/>
  <c r="BH10" i="16"/>
  <c r="BL15" i="11"/>
  <c r="Q15" i="11" s="1"/>
  <c r="P15" i="17"/>
  <c r="P18" i="17" s="1"/>
  <c r="P19" i="17" s="1"/>
  <c r="X17" i="17"/>
  <c r="R10" i="14"/>
  <c r="AZ16" i="11"/>
  <c r="BU16" i="17"/>
  <c r="BV10" i="16"/>
  <c r="BW15" i="20"/>
  <c r="BW16" i="20"/>
  <c r="BW17" i="20"/>
  <c r="BU15" i="17"/>
  <c r="T17" i="16"/>
  <c r="T18" i="16" s="1"/>
  <c r="T19" i="16" s="1"/>
  <c r="BH17" i="11"/>
  <c r="BG9" i="11"/>
  <c r="R10" i="21"/>
  <c r="R13" i="21" s="1"/>
  <c r="R19" i="21" s="1"/>
  <c r="BI15" i="11"/>
  <c r="BI18" i="11" s="1"/>
  <c r="Q10" i="21"/>
  <c r="Q13" i="21" s="1"/>
  <c r="Q19" i="21" s="1"/>
  <c r="V11" i="11"/>
  <c r="BK15" i="11"/>
  <c r="BL12" i="11"/>
  <c r="BF16" i="11"/>
  <c r="V11" i="16"/>
  <c r="BH15" i="16"/>
  <c r="BJ17" i="11"/>
  <c r="BH9" i="16"/>
  <c r="X12" i="21"/>
  <c r="X19" i="21" s="1"/>
  <c r="R16" i="14"/>
  <c r="S16" i="14"/>
  <c r="V16" i="14" s="1"/>
  <c r="V10" i="21"/>
  <c r="V12" i="21"/>
  <c r="AA16" i="16"/>
  <c r="AL18" i="11"/>
  <c r="F18" i="11"/>
  <c r="C18" i="6"/>
  <c r="G21" i="11"/>
  <c r="J9" i="12"/>
  <c r="Y13" i="11"/>
  <c r="I11" i="12"/>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N20" i="21"/>
  <c r="AO20" i="17"/>
  <c r="S20" i="17"/>
  <c r="AW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H20" i="12"/>
  <c r="AU20" i="21"/>
  <c r="H20" i="16"/>
  <c r="AK20" i="17"/>
  <c r="AT20" i="20"/>
  <c r="I20" i="16"/>
  <c r="F20" i="17"/>
  <c r="AC20" i="11"/>
  <c r="AA20" i="17"/>
  <c r="BW21" i="20" l="1"/>
  <c r="BK13" i="11"/>
  <c r="BK19" i="11" s="1"/>
  <c r="Q9" i="11"/>
  <c r="P9" i="11"/>
  <c r="U19" i="17"/>
  <c r="U13" i="17"/>
  <c r="AZ13" i="11"/>
  <c r="AZ19" i="11"/>
  <c r="V19" i="20"/>
  <c r="V13" i="21"/>
  <c r="V19" i="21" s="1"/>
  <c r="P16" i="11"/>
  <c r="Q16" i="11"/>
  <c r="BK18" i="11"/>
  <c r="BV13" i="16"/>
  <c r="BJ18" i="11"/>
  <c r="Q12" i="11"/>
  <c r="V12" i="14"/>
  <c r="V13" i="14" s="1"/>
  <c r="V19" i="14" s="1"/>
  <c r="S13" i="14"/>
  <c r="R18" i="20"/>
  <c r="R19" i="20" s="1"/>
  <c r="Q10"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<sst xmlns="http://schemas.openxmlformats.org/spreadsheetml/2006/main" count="2102" uniqueCount="918">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</sst>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CyIN2GRoRwBKgp8n8MTpwS+NtJQ4AM5n+4AOW0PHXPwQeFzaDiJKUx42kF3aoPL1wdm1ePCnUcA2YYMvG1DjA==" saltValue="qQEnndl8xNq/w2Xdm/bN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32.472000000000001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274</v>
      </c>
      <c r="D16" s="224">
        <f>IF(ISNUMBER(IF(D_I="SI",Datos!I16,Datos!I16+Datos!AC16)),IF(D_I="SI",Datos!I16,Datos!I16+Datos!AC16)," - ")</f>
        <v>274</v>
      </c>
      <c r="E16" s="225">
        <f>IF(ISNUMBER(IF(D_I="SI",Datos!J16,Datos!J16+Datos!AD16)),IF(D_I="SI",Datos!J16,Datos!J16+Datos!AD16)," - ")</f>
        <v>123</v>
      </c>
      <c r="F16" s="225">
        <f>IF(ISNUMBER(IF(D_I="SI",Datos!K16,Datos!K16+Datos!AE16)),IF(D_I="SI",Datos!K16,Datos!K16+Datos!AE16)," - ")</f>
        <v>127</v>
      </c>
      <c r="G16" s="1033" t="str">
        <f>IF(Datos!E16&lt;&gt;"",Datos!E16,Datos!D16)</f>
        <v>04</v>
      </c>
      <c r="H16" s="226">
        <f>IF(ISNUMBER(IF(D_I="SI",Datos!L16,Datos!L16+Datos!AF16)),IF(D_I="SI",Datos!L16,Datos!L16+Datos!AF16)," - ")</f>
        <v>270</v>
      </c>
      <c r="I16" s="1043" t="str">
        <f>IF(ISNUMBER(Datos!AS16/Datos!BM16),Datos!AS16/Datos!BM16," - ")</f>
        <v xml:space="preserve"> - </v>
      </c>
      <c r="J16" s="1044">
        <f>IF(ISNUMBER(Datos!BY16/Datos!CN16),Datos!BY16/Datos!CN16," - ")</f>
        <v>0</v>
      </c>
      <c r="K16" s="229">
        <f t="shared" si="3"/>
        <v>-1.4598540145985401E-2</v>
      </c>
      <c r="L16" s="1024">
        <f>IF(ISNUMBER(NºAsuntos!I16/NºAsuntos!G16),(NºAsuntos!I16/NºAsuntos!G16)*11," - ")</f>
        <v>23.385826771653544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v>
      </c>
      <c r="D17" s="224">
        <f>IF(ISNUMBER(IF(D_I="SI",Datos!I17,Datos!I17+Datos!AC17)),IF(D_I="SI",Datos!I17,Datos!I17+Datos!AC17)," - ")</f>
        <v>36</v>
      </c>
      <c r="E17" s="225">
        <f>IF(ISNUMBER(IF(D_I="SI",Datos!J17,Datos!J17+Datos!AD17)),IF(D_I="SI",Datos!J17,Datos!J17+Datos!AD17)," - ")</f>
        <v>13</v>
      </c>
      <c r="F17" s="225">
        <f>IF(ISNUMBER(IF(D_I="SI",Datos!K17,Datos!K17+Datos!AE17)),IF(D_I="SI",Datos!K17,Datos!K17+Datos!AE17)," - ")</f>
        <v>18</v>
      </c>
      <c r="G17" s="1033" t="str">
        <f>IF(Datos!E17&lt;&gt;"",Datos!E17,Datos!D17)</f>
        <v>37</v>
      </c>
      <c r="H17" s="226">
        <f>IF(ISNUMBER(IF(D_I="SI",Datos!L17,Datos!L17+Datos!AF17)),IF(D_I="SI",Datos!L17,Datos!L17+Datos!AF17)," - ")</f>
        <v>31</v>
      </c>
      <c r="I17" s="1043" t="str">
        <f>IF(ISNUMBER(Datos!AS17/Datos!BM17),Datos!AS17/Datos!BM17," - ")</f>
        <v xml:space="preserve"> - </v>
      </c>
      <c r="J17" s="1044" t="str">
        <f>IF(ISNUMBER((Datos!BY17+Datos!BZ17)/Datos!CN17),(Datos!BY17+Datos!BZ17)/Datos!CN17," - ")</f>
        <v xml:space="preserve"> - </v>
      </c>
      <c r="K17" s="229">
        <f t="shared" si="3"/>
        <v>-0.1388888888888889</v>
      </c>
      <c r="L17" s="1024">
        <f>IF(ISNUMBER(NºAsuntos!I17/NºAsuntos!G17),(NºAsuntos!I17/NºAsuntos!G17)*11," - ")</f>
        <v>18.944444444444446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310</v>
      </c>
      <c r="D18" s="1048">
        <f>SUBTOTAL(9,D15:D17)</f>
        <v>310</v>
      </c>
      <c r="E18" s="1049">
        <f>SUBTOTAL(9,E15:E17)</f>
        <v>136</v>
      </c>
      <c r="F18" s="1049">
        <f>SUBTOTAL(9,F15:F17)</f>
        <v>145</v>
      </c>
      <c r="G18" s="1051" t="str">
        <f ca="1">INDIRECT(CONCATENATE("G",ROW()-1))</f>
        <v>37</v>
      </c>
      <c r="H18" s="1052">
        <f ca="1">SUMIF(G$14:G17,G18,H$14:H17)</f>
        <v>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311</v>
      </c>
      <c r="D19" s="1070">
        <f>SUBTOTAL(9,D9:D18)</f>
        <v>311</v>
      </c>
      <c r="E19" s="1071">
        <f>SUBTOTAL(9,E9:E18)</f>
        <v>136</v>
      </c>
      <c r="F19" s="1071">
        <f>SUBTOTAL(9,F9:F18)</f>
        <v>145</v>
      </c>
      <c r="G19" s="1072"/>
      <c r="H19" s="1073">
        <f ca="1">SUMIF(B9:B18,"TOTAL",H9:H18)</f>
        <v>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cxJvlwWUpvzEvV3HNay1liW9kne63q4iUpIrys6Dsr8OTlMznwNTau4I6Eh/y267kBItsdvaUQO4zpucROASA==" saltValue="KN7BeT1zT+NL3JtdMnqnG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mx8ISPonBluKhnvIJiJI8EeIS13tUk1+WtXzp/GoR05vvkr4SLn8yCxSXeWU/uCAlsSvqYcVa5LB7DYXcj9cw==" saltValue="h/yTufNJZ+vAwEdIVBaG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398</v>
      </c>
      <c r="J12" s="182">
        <v>72</v>
      </c>
      <c r="K12" s="182">
        <v>117</v>
      </c>
      <c r="L12" s="182">
        <v>353</v>
      </c>
      <c r="M12" s="182">
        <v>23</v>
      </c>
      <c r="N12" s="182">
        <v>54</v>
      </c>
      <c r="O12" s="180">
        <v>85</v>
      </c>
      <c r="P12" s="182">
        <v>105</v>
      </c>
      <c r="Q12" s="182">
        <v>45</v>
      </c>
      <c r="R12" s="182">
        <v>499</v>
      </c>
      <c r="S12" s="182">
        <v>571</v>
      </c>
      <c r="T12" s="182">
        <v>86</v>
      </c>
      <c r="U12" s="182">
        <v>174</v>
      </c>
      <c r="V12" s="182">
        <v>483</v>
      </c>
      <c r="W12" s="182">
        <v>51</v>
      </c>
      <c r="X12" s="188">
        <v>43</v>
      </c>
      <c r="Y12" s="190">
        <v>10</v>
      </c>
      <c r="Z12" s="180">
        <v>14</v>
      </c>
      <c r="AA12" s="180">
        <v>8</v>
      </c>
      <c r="AB12" s="180">
        <v>16</v>
      </c>
      <c r="AC12" s="182">
        <v>0</v>
      </c>
      <c r="AD12" s="182">
        <v>0</v>
      </c>
      <c r="AE12" s="182">
        <v>0</v>
      </c>
      <c r="AF12" s="188">
        <v>0</v>
      </c>
      <c r="AG12" s="201">
        <v>17</v>
      </c>
      <c r="AH12" s="182">
        <v>2</v>
      </c>
      <c r="AI12" s="182">
        <v>8</v>
      </c>
      <c r="AJ12" s="202">
        <v>11</v>
      </c>
      <c r="AK12" s="181">
        <v>0</v>
      </c>
      <c r="AL12" s="182">
        <v>0</v>
      </c>
      <c r="AM12" s="182">
        <v>0</v>
      </c>
      <c r="AN12" s="188">
        <v>0</v>
      </c>
      <c r="AO12" s="258">
        <v>1</v>
      </c>
      <c r="AP12" s="154">
        <v>1</v>
      </c>
      <c r="AQ12" s="154">
        <v>1</v>
      </c>
      <c r="AR12" s="153">
        <v>1</v>
      </c>
      <c r="AS12" s="339" t="s">
        <v>794</v>
      </c>
      <c r="AT12" s="202"/>
      <c r="AU12" s="201"/>
      <c r="AV12" s="202"/>
      <c r="AW12" s="201"/>
      <c r="AX12" s="202"/>
      <c r="AY12" s="126">
        <f t="shared" si="1"/>
        <v>588</v>
      </c>
      <c r="AZ12" s="127">
        <f t="shared" si="1"/>
        <v>88</v>
      </c>
      <c r="BA12" s="127">
        <f t="shared" si="1"/>
        <v>182</v>
      </c>
      <c r="BB12" s="127">
        <f t="shared" si="1"/>
        <v>494</v>
      </c>
      <c r="BC12" s="125">
        <f>IF(ISNUMBER(X12),X12," - ")</f>
        <v>43</v>
      </c>
      <c r="BD12" s="126">
        <f t="shared" si="2"/>
        <v>2.0681818181818183</v>
      </c>
      <c r="BE12" s="127">
        <f t="shared" si="3"/>
        <v>2.7142857142857144</v>
      </c>
      <c r="BF12" s="127">
        <f t="shared" si="4"/>
        <v>0.23626373626373626</v>
      </c>
      <c r="BG12" s="195">
        <f t="shared" si="5"/>
        <v>3.7142857142857144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399</v>
      </c>
      <c r="J13" s="183">
        <f t="shared" si="6"/>
        <v>72</v>
      </c>
      <c r="K13" s="183">
        <f t="shared" si="6"/>
        <v>117</v>
      </c>
      <c r="L13" s="183">
        <f t="shared" si="6"/>
        <v>354</v>
      </c>
      <c r="M13" s="183">
        <f t="shared" si="6"/>
        <v>23</v>
      </c>
      <c r="N13" s="183">
        <f t="shared" si="6"/>
        <v>54</v>
      </c>
      <c r="O13" s="183">
        <f t="shared" si="6"/>
        <v>85</v>
      </c>
      <c r="P13" s="183">
        <f t="shared" si="6"/>
        <v>105</v>
      </c>
      <c r="Q13" s="183">
        <f t="shared" si="6"/>
        <v>45</v>
      </c>
      <c r="R13" s="183">
        <f t="shared" si="6"/>
        <v>499</v>
      </c>
      <c r="S13" s="183">
        <f t="shared" si="6"/>
        <v>572</v>
      </c>
      <c r="T13" s="183">
        <f t="shared" si="6"/>
        <v>86</v>
      </c>
      <c r="U13" s="183">
        <f t="shared" si="6"/>
        <v>174</v>
      </c>
      <c r="V13" s="183">
        <f t="shared" si="6"/>
        <v>484</v>
      </c>
      <c r="W13" s="183">
        <f t="shared" si="6"/>
        <v>51</v>
      </c>
      <c r="X13" s="183">
        <f t="shared" si="6"/>
        <v>43</v>
      </c>
      <c r="Y13" s="183">
        <f t="shared" si="6"/>
        <v>10</v>
      </c>
      <c r="Z13" s="183">
        <f t="shared" si="6"/>
        <v>14</v>
      </c>
      <c r="AA13" s="183">
        <f t="shared" si="6"/>
        <v>8</v>
      </c>
      <c r="AB13" s="183">
        <f t="shared" si="6"/>
        <v>16</v>
      </c>
      <c r="AC13" s="183">
        <f t="shared" si="6"/>
        <v>0</v>
      </c>
      <c r="AD13" s="183">
        <f t="shared" si="6"/>
        <v>0</v>
      </c>
      <c r="AE13" s="183">
        <f t="shared" si="6"/>
        <v>0</v>
      </c>
      <c r="AF13" s="183">
        <f>SUBTOTAL(9,AF9:AF12)</f>
        <v>0</v>
      </c>
      <c r="AG13" s="183">
        <f t="shared" ref="AG13:AT13" si="7">SUBTOTAL(9,AG8:AG12)</f>
        <v>17</v>
      </c>
      <c r="AH13" s="183">
        <f t="shared" si="7"/>
        <v>2</v>
      </c>
      <c r="AI13" s="183">
        <f t="shared" si="7"/>
        <v>8</v>
      </c>
      <c r="AJ13" s="183">
        <f t="shared" si="7"/>
        <v>11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589</v>
      </c>
      <c r="AZ13" s="183">
        <f>SUBTOTAL(9,AZ8:AZ12)</f>
        <v>88</v>
      </c>
      <c r="BA13" s="183">
        <f>SUBTOTAL(9,BA8:BA12)</f>
        <v>182</v>
      </c>
      <c r="BB13" s="183">
        <f>SUBTOTAL(9,BB8:BB12)</f>
        <v>495</v>
      </c>
      <c r="BC13" s="183">
        <f>SUBTOTAL(9,BC8:BC12)</f>
        <v>43</v>
      </c>
      <c r="BD13" s="204">
        <f>IF(ISNUMBER(BA13/AZ13),BA13/AZ13," - ")</f>
        <v>2.0681818181818183</v>
      </c>
      <c r="BE13" s="205">
        <f>IF(ISNUMBER(BB13/BA13),BB13/BA13, " - ")</f>
        <v>2.7197802197802199</v>
      </c>
      <c r="BF13" s="205">
        <f>IF(ISNUMBER(BC13/BA13),BC13/BA13, " - ")</f>
        <v>0.23626373626373626</v>
      </c>
      <c r="BG13" s="206">
        <f>IF(ISNUMBER((AY13+AZ13)/BA13),(AY13+AZ13)/BA13," - ")</f>
        <v>3.7197802197802199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274</v>
      </c>
      <c r="J16" s="182">
        <v>123</v>
      </c>
      <c r="K16" s="182">
        <v>127</v>
      </c>
      <c r="L16" s="182">
        <v>270</v>
      </c>
      <c r="M16" s="182">
        <v>13</v>
      </c>
      <c r="N16" s="182">
        <v>105</v>
      </c>
      <c r="O16" s="180">
        <v>0</v>
      </c>
      <c r="P16" s="182">
        <v>2</v>
      </c>
      <c r="Q16" s="182">
        <v>7</v>
      </c>
      <c r="R16" s="182">
        <v>47</v>
      </c>
      <c r="S16" s="182">
        <v>343</v>
      </c>
      <c r="T16" s="182">
        <v>143</v>
      </c>
      <c r="U16" s="182">
        <v>170</v>
      </c>
      <c r="V16" s="182">
        <v>316</v>
      </c>
      <c r="W16" s="182">
        <v>24</v>
      </c>
      <c r="X16" s="188">
        <v>75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343</v>
      </c>
      <c r="AZ16" s="127">
        <f t="shared" si="9"/>
        <v>143</v>
      </c>
      <c r="BA16" s="127">
        <f t="shared" si="9"/>
        <v>170</v>
      </c>
      <c r="BB16" s="127">
        <f t="shared" si="9"/>
        <v>316</v>
      </c>
      <c r="BC16" s="125">
        <f>IF(ISNUMBER(W16),W16," - ")</f>
        <v>24</v>
      </c>
      <c r="BD16" s="126">
        <f t="shared" ref="BD16" si="11">IF(ISNUMBER(BA16/AZ16),BA16/AZ16," - ")</f>
        <v>1.1888111888111887</v>
      </c>
      <c r="BE16" s="127">
        <f t="shared" ref="BE16" si="12">IF(ISNUMBER(BB16/BA16),BB16/BA16, " - ")</f>
        <v>1.8588235294117648</v>
      </c>
      <c r="BF16" s="127">
        <f t="shared" ref="BF16" si="13">IF(ISNUMBER(BC16/BA16),BC16/BA16, " - ")</f>
        <v>0.14117647058823529</v>
      </c>
      <c r="BG16" s="195">
        <f t="shared" si="10"/>
        <v>2.8588235294117648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v>
      </c>
      <c r="J17" s="182">
        <v>13</v>
      </c>
      <c r="K17" s="182">
        <v>18</v>
      </c>
      <c r="L17" s="182">
        <v>31</v>
      </c>
      <c r="M17" s="182">
        <v>0</v>
      </c>
      <c r="N17" s="182">
        <v>16</v>
      </c>
      <c r="O17" s="182">
        <v>0</v>
      </c>
      <c r="P17" s="182">
        <v>0</v>
      </c>
      <c r="Q17" s="182">
        <v>0</v>
      </c>
      <c r="R17" s="182">
        <v>0</v>
      </c>
      <c r="S17" s="182">
        <v>48</v>
      </c>
      <c r="T17" s="182">
        <v>5</v>
      </c>
      <c r="U17" s="182">
        <v>8</v>
      </c>
      <c r="V17" s="182">
        <v>45</v>
      </c>
      <c r="W17" s="182">
        <v>0</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48</v>
      </c>
      <c r="AZ17" s="129">
        <f t="shared" si="14"/>
        <v>5</v>
      </c>
      <c r="BA17" s="129">
        <f t="shared" si="14"/>
        <v>8</v>
      </c>
      <c r="BB17" s="129">
        <f t="shared" si="14"/>
        <v>45</v>
      </c>
      <c r="BC17" s="125">
        <f>IF(ISNUMBER(W17),W17," - ")</f>
        <v>0</v>
      </c>
      <c r="BD17" s="126">
        <f>IF(ISNUMBER(BA17/AZ17),BA17/AZ17," - ")</f>
        <v>1.6</v>
      </c>
      <c r="BE17" s="127">
        <f>IF(ISNUMBER(BB17/BA17),BB17/BA17, " - ")</f>
        <v>5.625</v>
      </c>
      <c r="BF17" s="127">
        <f>IF(ISNUMBER(BC17/BA17),BC17/BA17, " - ")</f>
        <v>0</v>
      </c>
      <c r="BG17" s="195">
        <f>IF(ISNUMBER((AY17+AZ17)/BA17),(AY17+AZ17)/BA17," - ")</f>
        <v>6.625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310</v>
      </c>
      <c r="J18" s="183">
        <f t="shared" si="15"/>
        <v>136</v>
      </c>
      <c r="K18" s="183">
        <f t="shared" si="15"/>
        <v>145</v>
      </c>
      <c r="L18" s="183">
        <f t="shared" si="15"/>
        <v>301</v>
      </c>
      <c r="M18" s="183">
        <f t="shared" si="15"/>
        <v>13</v>
      </c>
      <c r="N18" s="183">
        <f t="shared" si="15"/>
        <v>121</v>
      </c>
      <c r="O18" s="183">
        <f t="shared" si="15"/>
        <v>0</v>
      </c>
      <c r="P18" s="183">
        <f t="shared" si="15"/>
        <v>2</v>
      </c>
      <c r="Q18" s="183">
        <f t="shared" si="15"/>
        <v>7</v>
      </c>
      <c r="R18" s="183">
        <f t="shared" si="15"/>
        <v>47</v>
      </c>
      <c r="S18" s="183">
        <f t="shared" si="15"/>
        <v>391</v>
      </c>
      <c r="T18" s="183">
        <f t="shared" si="15"/>
        <v>148</v>
      </c>
      <c r="U18" s="183">
        <f t="shared" si="15"/>
        <v>178</v>
      </c>
      <c r="V18" s="183">
        <f t="shared" si="15"/>
        <v>361</v>
      </c>
      <c r="W18" s="183">
        <f t="shared" si="15"/>
        <v>24</v>
      </c>
      <c r="X18" s="183">
        <f t="shared" si="15"/>
        <v>88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391</v>
      </c>
      <c r="AZ18" s="183">
        <f>SUBTOTAL(9,AZ14:AZ17)</f>
        <v>148</v>
      </c>
      <c r="BA18" s="183">
        <f>SUBTOTAL(9,BA14:BA17)</f>
        <v>178</v>
      </c>
      <c r="BB18" s="183">
        <f>SUBTOTAL(9,BB14:BB17)</f>
        <v>361</v>
      </c>
      <c r="BC18" s="183">
        <f>SUBTOTAL(9,BC14:BC17)</f>
        <v>24</v>
      </c>
      <c r="BD18" s="204">
        <f>IF(ISNUMBER(BA18/AZ18),BA18/AZ18," - ")</f>
        <v>1.2027027027027026</v>
      </c>
      <c r="BE18" s="205">
        <f>IF(ISNUMBER(BB18/BA18),BB18/BA18, " - ")</f>
        <v>2.0280898876404496</v>
      </c>
      <c r="BF18" s="205">
        <f>IF(ISNUMBER(BC18/BA18),BC18/BA18, " - ")</f>
        <v>0.1348314606741573</v>
      </c>
      <c r="BG18" s="206">
        <f>IF(ISNUMBER((AY18+AZ18)/BA18),(AY18+AZ18)/BA18," - ")</f>
        <v>3.0280898876404496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709</v>
      </c>
      <c r="J19" s="134">
        <f t="shared" si="18"/>
        <v>208</v>
      </c>
      <c r="K19" s="134">
        <f t="shared" si="18"/>
        <v>262</v>
      </c>
      <c r="L19" s="134">
        <f t="shared" si="18"/>
        <v>655</v>
      </c>
      <c r="M19" s="134">
        <f t="shared" si="18"/>
        <v>36</v>
      </c>
      <c r="N19" s="134">
        <f t="shared" si="18"/>
        <v>175</v>
      </c>
      <c r="O19" s="134">
        <f t="shared" si="18"/>
        <v>85</v>
      </c>
      <c r="P19" s="134">
        <f t="shared" si="18"/>
        <v>107</v>
      </c>
      <c r="Q19" s="134">
        <f t="shared" si="18"/>
        <v>52</v>
      </c>
      <c r="R19" s="134">
        <f t="shared" si="18"/>
        <v>546</v>
      </c>
      <c r="S19" s="134">
        <f t="shared" si="18"/>
        <v>963</v>
      </c>
      <c r="T19" s="134">
        <f t="shared" si="18"/>
        <v>234</v>
      </c>
      <c r="U19" s="134">
        <f t="shared" si="18"/>
        <v>352</v>
      </c>
      <c r="V19" s="134">
        <f t="shared" si="18"/>
        <v>845</v>
      </c>
      <c r="W19" s="134">
        <f t="shared" si="18"/>
        <v>75</v>
      </c>
      <c r="X19" s="134">
        <f t="shared" si="18"/>
        <v>131</v>
      </c>
      <c r="Y19" s="134">
        <f t="shared" si="18"/>
        <v>10</v>
      </c>
      <c r="Z19" s="134">
        <f t="shared" si="18"/>
        <v>14</v>
      </c>
      <c r="AA19" s="134">
        <f t="shared" si="18"/>
        <v>8</v>
      </c>
      <c r="AB19" s="134">
        <f t="shared" si="18"/>
        <v>16</v>
      </c>
      <c r="AC19" s="134">
        <f t="shared" si="18"/>
        <v>0</v>
      </c>
      <c r="AD19" s="134">
        <f t="shared" si="18"/>
        <v>0</v>
      </c>
      <c r="AE19" s="134">
        <f t="shared" si="18"/>
        <v>0</v>
      </c>
      <c r="AF19" s="134">
        <f t="shared" si="18"/>
        <v>0</v>
      </c>
      <c r="AG19" s="134">
        <f t="shared" si="18"/>
        <v>17</v>
      </c>
      <c r="AH19" s="134">
        <f t="shared" si="18"/>
        <v>2</v>
      </c>
      <c r="AI19" s="134">
        <f t="shared" si="18"/>
        <v>8</v>
      </c>
      <c r="AJ19" s="134">
        <f t="shared" si="18"/>
        <v>11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980</v>
      </c>
      <c r="AZ19" s="134">
        <f>SUBTOTAL(9,AZ9:AZ18)</f>
        <v>236</v>
      </c>
      <c r="BA19" s="134">
        <f>SUBTOTAL(9,BA9:BA18)</f>
        <v>360</v>
      </c>
      <c r="BB19" s="134">
        <f>SUBTOTAL(9,BB9:BB18)</f>
        <v>856</v>
      </c>
      <c r="BC19" s="135">
        <f>SUBTOTAL(9,BC9:BC18)</f>
        <v>67</v>
      </c>
      <c r="BD19" s="212">
        <f>IF(ISNUMBER(BA19/AZ19),BA19/AZ19," - ")</f>
        <v>1.5254237288135593</v>
      </c>
      <c r="BE19" s="209">
        <f>IF(ISNUMBER(BB19/BA19),BB19/BA19, " - ")</f>
        <v>2.3777777777777778</v>
      </c>
      <c r="BF19" s="209">
        <f>IF(ISNUMBER(BC19/BA19),BC19/BA19, " - ")</f>
        <v>0.18611111111111112</v>
      </c>
      <c r="BG19" s="135">
        <f>IF(ISNUMBER((AY19+AZ19)/BA19),(AY19+AZ19)/BA19," - ")</f>
        <v>3.3777777777777778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rYvg/Gl8V4IomqygkQeKmwdKmo5VeZKB3yZjuJquRWK92gtz8M2Cxm5Dsga/GOs5zMMRxTJub3SF/Duqd0XYw==" saltValue="2f/17uuiRJd5mwep6T5Uo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nLipYrPCYKoZlFsVUQqmkEDkSE2Wn92PkpXZixRSskMQMZEUXvxwGHf6PdU+f2uacp/a3TSq8U1b2ufJAbbDA==" saltValue="ZxfgDzELQkJ8tuQ+KKobi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VIELHA E MIJARAN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105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v>
      </c>
      <c r="AI12" s="333" t="str">
        <f>IF(ISNUMBER(Datos!CD12),Datos!CD12,"-")</f>
        <v>-</v>
      </c>
      <c r="AJ12" s="333" t="str">
        <f>IF(ISNUMBER(Datos!EN12),Datos!EN12," - ")</f>
        <v xml:space="preserve"> - </v>
      </c>
      <c r="AK12" s="333"/>
      <c r="AL12" s="478"/>
      <c r="AM12" s="334">
        <f>IF(ISNUMBER(Datos!R12),Datos!R12," - ")</f>
        <v>499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v>
      </c>
      <c r="BD12" s="228">
        <f>IF(ISNUMBER(Datos!N12),Datos!N12," - ")</f>
        <v>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1.4534883720930232</v>
      </c>
      <c r="BH12" s="259">
        <f>IF(ISNUMBER(((IF(J_V="SI",Datos!L12/Datos!K12,(Datos!L12+Datos!AB12)/(Datos!K12+Datos!AA12)))*11)/factor_trimestre),((IF(J_V="SI",Datos!L12/Datos!K12,(Datos!L12+Datos!AB12)/(Datos!K12+Datos!AA12)))*11)/factor_trimestre," - ")</f>
        <v>5.9039999999999999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0.1366742596810934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14</v>
      </c>
      <c r="O13" s="899">
        <f t="shared" si="0"/>
        <v>0</v>
      </c>
      <c r="P13" s="899">
        <f t="shared" si="0"/>
        <v>0</v>
      </c>
      <c r="Q13" s="898">
        <f t="shared" si="0"/>
        <v>105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45</v>
      </c>
      <c r="AD13" s="898">
        <f t="shared" si="1"/>
        <v>0</v>
      </c>
      <c r="AE13" s="898">
        <f t="shared" si="1"/>
        <v>0</v>
      </c>
      <c r="AF13" s="898">
        <f t="shared" si="1"/>
        <v>1</v>
      </c>
      <c r="AG13" s="898">
        <f t="shared" si="1"/>
        <v>0</v>
      </c>
      <c r="AH13" s="898">
        <f t="shared" si="1"/>
        <v>16</v>
      </c>
      <c r="AI13" s="898">
        <f t="shared" si="1"/>
        <v>0</v>
      </c>
      <c r="AJ13" s="898">
        <f t="shared" si="1"/>
        <v>0</v>
      </c>
      <c r="AK13" s="898">
        <f t="shared" si="1"/>
        <v>0</v>
      </c>
      <c r="AL13" s="898">
        <f t="shared" si="1"/>
        <v>0</v>
      </c>
      <c r="AM13" s="898">
        <f t="shared" si="1"/>
        <v>499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v>
      </c>
      <c r="BD13" s="898">
        <f t="shared" si="1"/>
        <v>54</v>
      </c>
      <c r="BE13" s="898">
        <f t="shared" si="1"/>
        <v>0</v>
      </c>
      <c r="BF13" s="898">
        <f t="shared" si="1"/>
        <v>0</v>
      </c>
      <c r="BG13" s="898">
        <f>IF(ISNUMBER(Datos!K13/Datos!J13),Datos!K13/Datos!J13," - ")</f>
        <v>1.625</v>
      </c>
      <c r="BH13" s="902">
        <f>IF(ISNUMBER(((Datos!L13/Datos!K13)*11)/factor_trimestre),((Datos!L13/Datos!K13)*11)/factor_trimestre," - ")</f>
        <v>6.051282051282052</v>
      </c>
      <c r="BI13" s="898">
        <f>IF(ISNUMBER('Resol  Asuntos'!D13/NºAsuntos!G13),'Resol  Asuntos'!D13/NºAsuntos!G13," - ")</f>
        <v>0.184</v>
      </c>
      <c r="BJ13" s="898" t="str">
        <f>IF(ISNUMBER(Datos!CI13/Datos!CJ13),Datos!CI13/Datos!CJ13," - ")</f>
        <v xml:space="preserve"> - </v>
      </c>
      <c r="BK13" s="898">
        <f>SUBTOTAL(9,BK8:BK12)</f>
        <v>0</v>
      </c>
      <c r="BL13" s="898">
        <f>IF(ISNUMBER((I13-AB13+L13)/(F13)),(I13-AB13+L13)/(F13)," - ")</f>
        <v>0</v>
      </c>
      <c r="BM13" s="903">
        <f>SUBTOTAL(9,BM9:BM12)</f>
        <v>0.1366742596810934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274</v>
      </c>
      <c r="G16" s="597">
        <f>IF(ISNUMBER(IF(D_I="SI",Datos!I16,Datos!I16+Datos!AC16)),IF(D_I="SI",Datos!I16,Datos!I16+Datos!AC16)," - ")</f>
        <v>274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127</v>
      </c>
      <c r="AC16" s="225">
        <f>IF(ISNUMBER(Datos!Q16),Datos!Q16," - ")</f>
        <v>7</v>
      </c>
      <c r="AD16" s="333"/>
      <c r="AE16" s="483"/>
      <c r="AF16" s="595">
        <f>IF(ISNUMBER(IF(D_I="SI",Datos!L16,Datos!L16+Datos!AF16)),IF(D_I="SI",Datos!L16,Datos!L16+Datos!AF16)," - ")</f>
        <v>270</v>
      </c>
      <c r="AG16" s="333"/>
      <c r="AH16" s="333"/>
      <c r="AI16" s="333"/>
      <c r="AJ16" s="333"/>
      <c r="AK16" s="333"/>
      <c r="AL16" s="478"/>
      <c r="AM16" s="334">
        <f>IF(ISNUMBER(Datos!R16),Datos!R16," - ")</f>
        <v>47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105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1.032520325203252</v>
      </c>
      <c r="BH16" s="259">
        <f>IF(ISNUMBER(((IF(D_I="SI",Datos!L16/Datos!K16,(Datos!L16+Datos!AF16)/(Datos!K16+Datos!AE16)))*11)/factor_trimestre),((IF(D_I="SI",Datos!L16/Datos!K16,(Datos!L16+Datos!AF16)/(Datos!K16+Datos!AE16)))*11)/factor_trimestre," - ")</f>
        <v>4.2519685039370083</v>
      </c>
      <c r="BI16" s="242">
        <f>IF(ISNUMBER('Resol  Asuntos'!D16/NºAsuntos!G16),'Resol  Asuntos'!D16/NºAsuntos!G16," - ")</f>
        <v>0.10236220472440945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0</v>
      </c>
      <c r="AD17" s="333"/>
      <c r="AE17" s="483"/>
      <c r="AF17" s="331">
        <f>IF(ISNUMBER(Datos!L17),Datos!L17,"-")</f>
        <v>31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1.3846153846153846</v>
      </c>
      <c r="BH17" s="259">
        <f>IF(ISNUMBER(((IF(D_I="SI",Datos!L17/Datos!K17,(Datos!L17+Datos!AF17)/(Datos!K17+Datos!AE17)))*11)/factor_trimestre),((IF(D_I="SI",Datos!L17/Datos!K17,(Datos!L17+Datos!AF17)/(Datos!K17+Datos!AE17)))*11)/factor_trimestre," - ")</f>
        <v>3.4444444444444446</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274</v>
      </c>
      <c r="G18" s="897">
        <f>SUBTOTAL(9,G15:G17)</f>
        <v>310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145</v>
      </c>
      <c r="AC18" s="898">
        <f t="shared" si="4"/>
        <v>7</v>
      </c>
      <c r="AD18" s="898">
        <f t="shared" si="4"/>
        <v>0</v>
      </c>
      <c r="AE18" s="898">
        <f t="shared" si="4"/>
        <v>0</v>
      </c>
      <c r="AF18" s="898">
        <f t="shared" si="4"/>
        <v>301</v>
      </c>
      <c r="AG18" s="898">
        <f t="shared" si="4"/>
        <v>0</v>
      </c>
      <c r="AH18" s="898">
        <f t="shared" si="4"/>
        <v>0</v>
      </c>
      <c r="AI18" s="898">
        <f t="shared" si="4"/>
        <v>0</v>
      </c>
      <c r="AJ18" s="898">
        <f t="shared" si="4"/>
        <v>0</v>
      </c>
      <c r="AK18" s="898">
        <f t="shared" si="4"/>
        <v>0</v>
      </c>
      <c r="AL18" s="898">
        <f t="shared" si="4"/>
        <v>0</v>
      </c>
      <c r="AM18" s="898">
        <f t="shared" si="4"/>
        <v>47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v>
      </c>
      <c r="BD18" s="898">
        <f t="shared" si="4"/>
        <v>121</v>
      </c>
      <c r="BE18" s="898">
        <f t="shared" si="4"/>
        <v>0</v>
      </c>
      <c r="BF18" s="898">
        <f t="shared" si="4"/>
        <v>0</v>
      </c>
      <c r="BG18" s="898">
        <f>IF(ISNUMBER(Datos!K18/Datos!J18),Datos!K18/Datos!J18," - ")</f>
        <v>1.0661764705882353</v>
      </c>
      <c r="BH18" s="902">
        <f>IF(ISNUMBER(((Datos!L18/Datos!K18)*11)/factor_trimestre),((Datos!L18/Datos!K18)*11)/factor_trimestre," - ")</f>
        <v>4.1517241379310343</v>
      </c>
      <c r="BI18" s="898">
        <f>SUBTOTAL(9,BI15:BI17)</f>
        <v>0.10236220472440945</v>
      </c>
      <c r="BJ18" s="898">
        <f>SUBTOTAL(9,BJ15:BJ17)</f>
        <v>0</v>
      </c>
      <c r="BK18" s="898">
        <f>SUBTOTAL(9,BK15:BK17)</f>
        <v>0</v>
      </c>
      <c r="BL18" s="898">
        <f>IF(ISNUMBER((I18-AB18+L18)/(F18)),(I18-AB18+L18)/(F18)," - ")</f>
        <v>-0.52919708029197077</v>
      </c>
      <c r="BM18" s="904">
        <f>IF(ISNUMBER((Datos!P18-Datos!Q18)/(Datos!R18-Datos!P18+Datos!Q18)),(Datos!P18-Datos!Q18)/(Datos!R18-Datos!P18+Datos!Q18)," - ")</f>
        <v>-9.6153846153846159E-2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275</v>
      </c>
      <c r="G19" s="819">
        <f t="shared" si="6"/>
        <v>311</v>
      </c>
      <c r="H19" s="821">
        <f t="shared" si="6"/>
        <v>0</v>
      </c>
      <c r="I19" s="819">
        <f t="shared" si="6"/>
        <v>0</v>
      </c>
      <c r="J19" s="821">
        <f t="shared" si="6"/>
        <v>0</v>
      </c>
      <c r="K19" s="821">
        <f t="shared" si="6"/>
        <v>0</v>
      </c>
      <c r="L19" s="880">
        <f t="shared" si="6"/>
        <v>0</v>
      </c>
      <c r="M19" s="880">
        <f t="shared" si="6"/>
        <v>0</v>
      </c>
      <c r="N19" s="880">
        <f t="shared" si="6"/>
        <v>14</v>
      </c>
      <c r="O19" s="880">
        <f t="shared" si="6"/>
        <v>0</v>
      </c>
      <c r="P19" s="880">
        <f t="shared" si="6"/>
        <v>0</v>
      </c>
      <c r="Q19" s="821">
        <f t="shared" si="6"/>
        <v>107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145</v>
      </c>
      <c r="AC19" s="820">
        <f t="shared" si="7"/>
        <v>52</v>
      </c>
      <c r="AD19" s="820">
        <f t="shared" si="7"/>
        <v>0</v>
      </c>
      <c r="AE19" s="820">
        <f t="shared" si="7"/>
        <v>0</v>
      </c>
      <c r="AF19" s="827">
        <f t="shared" si="7"/>
        <v>302</v>
      </c>
      <c r="AG19" s="827">
        <f t="shared" si="7"/>
        <v>0</v>
      </c>
      <c r="AH19" s="827">
        <f t="shared" si="7"/>
        <v>16</v>
      </c>
      <c r="AI19" s="827">
        <f t="shared" si="7"/>
        <v>0</v>
      </c>
      <c r="AJ19" s="820">
        <f t="shared" si="7"/>
        <v>0</v>
      </c>
      <c r="AK19" s="827">
        <f t="shared" si="7"/>
        <v>0</v>
      </c>
      <c r="AL19" s="827">
        <f t="shared" si="7"/>
        <v>0</v>
      </c>
      <c r="AM19" s="827">
        <f t="shared" si="7"/>
        <v>546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v>
      </c>
      <c r="BD19" s="819">
        <f t="shared" si="7"/>
        <v>175</v>
      </c>
      <c r="BE19" s="819">
        <f t="shared" si="7"/>
        <v>0</v>
      </c>
      <c r="BF19" s="829">
        <f t="shared" si="7"/>
        <v>0</v>
      </c>
      <c r="BG19" s="914">
        <f>IF(ISNUMBER(Datos!K19/Datos!J19),Datos!K19/Datos!J19," - ")</f>
        <v>1.2596153846153846</v>
      </c>
      <c r="BH19" s="914">
        <f>IF(ISNUMBER(((Datos!L19/Datos!K19)*11)/factor_trimestre),((Datos!L19/Datos!K19)*11)/factor_trimestre," - ")</f>
        <v>5</v>
      </c>
      <c r="BI19" s="812">
        <f>IF(ISNUMBER(Datos!J19/Datos!I19),Datos!J19/Datos!I19," - ")</f>
        <v>0.2933709449929478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-0.52727272727272723</v>
      </c>
      <c r="BM19" s="888">
        <f>IF(ISNUMBER((Datos!P19-Datos!Q19+R19)/(Datos!R19-Datos!P19+Datos!Q19-R19)),(Datos!P19-Datos!Q19+R19)/(Datos!R19-Datos!P19+Datos!Q19-R19)," - ")</f>
        <v>0.11201629327902241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157.61662348876783</v>
      </c>
      <c r="G21" s="551">
        <f>IF(ISNUMBER(STDEV(G8:G18)),STDEV(G8:G18),"-")</f>
        <v>154.18916952886153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71.864455748304394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10.315037566582102</v>
      </c>
      <c r="BD21" s="550"/>
      <c r="BE21" s="550">
        <f>IF(ISNUMBER(STDEV(BE8:BE18)),STDEV(BE8:BE18),"-")</f>
        <v>0</v>
      </c>
      <c r="BF21" s="555">
        <f>IF(ISNUMBER(STDEV(BF8:BF18)),STDEV(BF8:BF18),"-")</f>
        <v>0</v>
      </c>
      <c r="BG21" s="774">
        <f>IF(ISNUMBER(STDEV(BG8:BG18)),STDEV(BG8:BG18),"-")</f>
        <v>0.25583119500926155</v>
      </c>
      <c r="BH21" s="775">
        <f>IF(ISNUMBER(STDEV(BH8:BH18)),STDEV(BH8:BH18),"-")</f>
        <v>1.1548728223254319</v>
      </c>
      <c r="BI21" s="248">
        <f>IF(ISNUMBER(STDEV(BI8:BI18)),STDEV(BI8:BI18),"-")</f>
        <v>7.5355546769410794E-2</v>
      </c>
      <c r="BJ21" s="229" t="str">
        <f>IF(ISNUMBER(BL21/BM21),BL21/BM21," - ")</f>
        <v xml:space="preserve"> - </v>
      </c>
      <c r="BK21" s="574"/>
      <c r="BL21" s="558">
        <f>IF(ISNUMBER(STDEV(BL8:BL18)),STDEV(BL8:BL18),"-")</f>
        <v>0.3741988440585744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Pz+rzWbcfIxUXjuFbCEHLiVutEwdTGeSR2UkhuOZ2y9/3LBSuAIKTyi9Tmws+TX8w3U2KZLOSZQ+dTRNJR+3bw==" saltValue="TCuSgAOIqq9vlAZRs5dG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VIELHA E MIJARAN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45</v>
      </c>
      <c r="AA12" s="331" t="str">
        <f>IF(ISNUMBER(IF(J_V="SI",Datos!L12,Datos!L12+Datos!AB12)-IF(Monitorios="SI",Datos!CD12,0)),
                          IF(J_V="SI",Datos!L12,Datos!L12+Datos!AB12)-IF(Monitorios="SI",Datos!CD12,0),
                          " - ")</f>
        <v xml:space="preserve"> - </v>
      </c>
      <c r="AB12" s="333"/>
      <c r="AC12" s="333"/>
      <c r="AD12" s="483"/>
      <c r="AE12" s="483">
        <f>IF(ISNUMBER(Datos!R12),Datos!R12," - ")</f>
        <v>499</v>
      </c>
      <c r="AF12" s="228" t="str">
        <f>IF(ISNUMBER(Datos!BV12),Datos!BV12," - ")</f>
        <v xml:space="preserve"> - </v>
      </c>
      <c r="AG12" s="224" t="str">
        <f>IF(ISNUMBER(Datos!DV12),Datos!DV12," - ")</f>
        <v xml:space="preserve"> - </v>
      </c>
      <c r="AH12" s="297"/>
      <c r="AI12" s="226"/>
      <c r="AJ12" s="224">
        <f>IF(ISNUMBER(Datos!M12),Datos!M12," - ")</f>
        <v>23</v>
      </c>
      <c r="AK12" s="228">
        <f>IF(ISNUMBER(Datos!N12),Datos!N12," - ")</f>
        <v>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5.9039999999999999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0.1366742596810934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105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45</v>
      </c>
      <c r="AA13" s="899">
        <f t="shared" si="2"/>
        <v>1</v>
      </c>
      <c r="AB13" s="899">
        <f t="shared" si="2"/>
        <v>0</v>
      </c>
      <c r="AC13" s="899">
        <f t="shared" si="2"/>
        <v>0</v>
      </c>
      <c r="AD13" s="899">
        <f t="shared" si="2"/>
        <v>0</v>
      </c>
      <c r="AE13" s="899">
        <f t="shared" si="2"/>
        <v>499</v>
      </c>
      <c r="AF13" s="907">
        <f t="shared" si="2"/>
        <v>0</v>
      </c>
      <c r="AG13" s="907">
        <f t="shared" si="2"/>
        <v>0</v>
      </c>
      <c r="AH13" s="907">
        <f t="shared" si="2"/>
        <v>0</v>
      </c>
      <c r="AI13" s="907">
        <f t="shared" si="2"/>
        <v>0</v>
      </c>
      <c r="AJ13" s="907">
        <f t="shared" si="2"/>
        <v>23</v>
      </c>
      <c r="AK13" s="907">
        <f t="shared" si="2"/>
        <v>54</v>
      </c>
      <c r="AL13" s="907">
        <f t="shared" si="2"/>
        <v>0</v>
      </c>
      <c r="AM13" s="907">
        <f t="shared" si="2"/>
        <v>0</v>
      </c>
      <c r="AN13" s="907">
        <f t="shared" si="2"/>
        <v>0</v>
      </c>
      <c r="AO13" s="903">
        <f>IF(ISNUMBER(((NºAsuntos!I13/NºAsuntos!G13)*11)/factor_trimestre),((NºAsuntos!I13/NºAsuntos!G13)*11)/factor_trimestre," - ")</f>
        <v>5.9200000000000008</v>
      </c>
      <c r="AP13" s="909" t="str">
        <f>IF(ISNUMBER(Datos!CI13/Datos!CJ13),Datos!CI13/Datos!CJ13," - ")</f>
        <v xml:space="preserve"> - </v>
      </c>
      <c r="AQ13" s="927">
        <f t="shared" ref="AQ13:AV13" si="3">SUBTOTAL(9,AQ9:AQ12)</f>
        <v>0</v>
      </c>
      <c r="AR13" s="927">
        <f t="shared" si="3"/>
        <v>0.1366742596810934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274</v>
      </c>
      <c r="G16" s="224">
        <f>IF(ISNUMBER(IF(D_I="SI",Datos!I16,Datos!I16+Datos!AC16)),IF(D_I="SI",Datos!I16,Datos!I16+Datos!AC16)," - ")</f>
        <v>274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127</v>
      </c>
      <c r="Z16" s="618">
        <f>IF(ISNUMBER(Datos!Q16),Datos!Q16," - ")</f>
        <v>7</v>
      </c>
      <c r="AA16" s="331">
        <f>IF(ISNUMBER(IF(D_I="SI",Datos!L16,Datos!L16+Datos!AF16)),IF(D_I="SI",Datos!L16,Datos!L16+Datos!AF16)," - ")</f>
        <v>270</v>
      </c>
      <c r="AB16" s="333"/>
      <c r="AC16" s="333"/>
      <c r="AD16" s="483"/>
      <c r="AE16" s="483">
        <f>IF(ISNUMBER(Datos!R16),Datos!R16," - ")</f>
        <v>47</v>
      </c>
      <c r="AF16" s="228" t="str">
        <f>IF(ISNUMBER(Datos!BV16),Datos!BV16," - ")</f>
        <v xml:space="preserve"> - </v>
      </c>
      <c r="AG16" s="224"/>
      <c r="AH16" s="297"/>
      <c r="AI16" s="226"/>
      <c r="AJ16" s="224">
        <f>IF(ISNUMBER(Datos!M16),Datos!M16," - ")</f>
        <v>13</v>
      </c>
      <c r="AK16" s="228">
        <f>IF(ISNUMBER(Datos!N16),Datos!N16," - ")</f>
        <v>105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4.2519685039370083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0</v>
      </c>
      <c r="AA17" s="331">
        <f>IF(ISNUMBER(Datos!L17),Datos!L17,"-")</f>
        <v>31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3.4444444444444446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274</v>
      </c>
      <c r="G18" s="897">
        <f>SUBTOTAL(9,G15:G17)</f>
        <v>310</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145</v>
      </c>
      <c r="Z18" s="931">
        <f t="shared" si="5"/>
        <v>7</v>
      </c>
      <c r="AA18" s="931">
        <f t="shared" si="5"/>
        <v>301</v>
      </c>
      <c r="AB18" s="931">
        <f t="shared" si="5"/>
        <v>0</v>
      </c>
      <c r="AC18" s="931">
        <f t="shared" si="5"/>
        <v>0</v>
      </c>
      <c r="AD18" s="931">
        <f t="shared" si="5"/>
        <v>0</v>
      </c>
      <c r="AE18" s="931">
        <f t="shared" si="5"/>
        <v>47</v>
      </c>
      <c r="AF18" s="931">
        <f t="shared" si="5"/>
        <v>0</v>
      </c>
      <c r="AG18" s="931">
        <f t="shared" si="5"/>
        <v>0</v>
      </c>
      <c r="AH18" s="931">
        <f t="shared" si="5"/>
        <v>0</v>
      </c>
      <c r="AI18" s="931">
        <f t="shared" si="5"/>
        <v>0</v>
      </c>
      <c r="AJ18" s="931">
        <f t="shared" si="5"/>
        <v>13</v>
      </c>
      <c r="AK18" s="931">
        <f t="shared" si="5"/>
        <v>121</v>
      </c>
      <c r="AL18" s="931">
        <f t="shared" si="5"/>
        <v>0</v>
      </c>
      <c r="AM18" s="931">
        <f t="shared" si="5"/>
        <v>0</v>
      </c>
      <c r="AN18" s="931">
        <f t="shared" si="5"/>
        <v>0</v>
      </c>
      <c r="AO18" s="933">
        <f>IF(ISNUMBER(((NºAsuntos!I18/NºAsuntos!G18)*11)/factor_trimestre),((NºAsuntos!I18/NºAsuntos!G18)*11)/factor_trimestre," - ")</f>
        <v>4.1517241379310343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275</v>
      </c>
      <c r="G19" s="819">
        <f t="shared" si="7"/>
        <v>311</v>
      </c>
      <c r="H19" s="820">
        <f t="shared" si="7"/>
        <v>0</v>
      </c>
      <c r="I19" s="819">
        <f t="shared" si="7"/>
        <v>0</v>
      </c>
      <c r="J19" s="821">
        <f t="shared" si="7"/>
        <v>0</v>
      </c>
      <c r="K19" s="819">
        <f t="shared" si="7"/>
        <v>0</v>
      </c>
      <c r="L19" s="822">
        <f t="shared" si="7"/>
        <v>0</v>
      </c>
      <c r="M19" s="819">
        <f t="shared" si="7"/>
        <v>0</v>
      </c>
      <c r="N19" s="820">
        <f t="shared" si="7"/>
        <v>107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145</v>
      </c>
      <c r="Z19" s="826">
        <f t="shared" si="8"/>
        <v>52</v>
      </c>
      <c r="AA19" s="827">
        <f t="shared" si="8"/>
        <v>302</v>
      </c>
      <c r="AB19" s="827">
        <f t="shared" si="8"/>
        <v>0</v>
      </c>
      <c r="AC19" s="827">
        <f t="shared" si="8"/>
        <v>0</v>
      </c>
      <c r="AD19" s="828">
        <f t="shared" si="8"/>
        <v>0</v>
      </c>
      <c r="AE19" s="828">
        <f t="shared" si="8"/>
        <v>546</v>
      </c>
      <c r="AF19" s="829">
        <f t="shared" si="8"/>
        <v>0</v>
      </c>
      <c r="AG19" s="830">
        <f t="shared" si="8"/>
        <v>0</v>
      </c>
      <c r="AH19" s="831">
        <f t="shared" si="8"/>
        <v>0</v>
      </c>
      <c r="AI19" s="829">
        <f t="shared" si="8"/>
        <v>0</v>
      </c>
      <c r="AJ19" s="819">
        <f t="shared" si="8"/>
        <v>36</v>
      </c>
      <c r="AK19" s="819">
        <f t="shared" si="8"/>
        <v>175</v>
      </c>
      <c r="AL19" s="819">
        <f t="shared" si="8"/>
        <v>0</v>
      </c>
      <c r="AM19" s="832">
        <f t="shared" si="8"/>
        <v>0</v>
      </c>
      <c r="AN19" s="822">
        <f>IF(ISNUMBER(Datos!K19/Datos!J19),Datos!K19/Datos!J19," - ")</f>
        <v>1.2596153846153846</v>
      </c>
      <c r="AO19" s="822">
        <f>IF(ISNUMBER(FIND("06",Criterios!A8,1)),(IF(ISNUMBER(((Datos!R19/Datos!Q19)*11)/factor_trimestre),((Datos!R19/Datos!Q19)*11)/factor_trimestre," - ")),(IF(ISNUMBER(((Datos!L19/Datos!K19)*11)/factor_trimestre),((Datos!L19/Datos!K19)*11)/factor_trimestre," - ")))</f>
        <v>5</v>
      </c>
      <c r="AP19" s="833" t="str">
        <f>IF(ISNUMBER(Datos!CI19/Datos!CJ19),Datos!CI19/Datos!CJ19," - ")</f>
        <v xml:space="preserve"> - </v>
      </c>
      <c r="AQ19" s="833">
        <f>IF(OR(ISNUMBER(FIND("01",Criterios!A8,1)),ISNUMBER(FIND("02",Criterios!A8,1)),ISNUMBER(FIND("03",Criterios!A8,1)),ISNUMBER(FIND("04",Criterios!A8,1))),(J19-Y19+K19)/(F19-K19),(I19-Y19+K19)/(F19-K19))</f>
        <v>-0.52727272727272723</v>
      </c>
      <c r="AR19" s="833">
        <f>IF(ISNUMBER((Datos!P19-Datos!Q19+O19)/(Datos!R19-Datos!P19+Datos!Q19-O19)),(Datos!P19-Datos!Q19+O19)/(Datos!R19-Datos!P19+Datos!Q19-O19)," - ")</f>
        <v>0.11201629327902241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157.61662348876783</v>
      </c>
      <c r="G21" s="551">
        <f>IF(ISNUMBER(STDEV(G8:G18)),STDEV(G8:G18),"-")</f>
        <v>154.18916952886153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10.315037566582102</v>
      </c>
      <c r="AK21" s="251"/>
      <c r="AL21" s="251">
        <f>IF(ISNUMBER(STDEV(AL8:AL18)),STDEV(AL8:AL18),"-")</f>
        <v>0</v>
      </c>
      <c r="AM21" s="253">
        <f>IF(ISNUMBER(STDEV(AM8:AM18)),STDEV(AM8:AM18),"-")</f>
        <v>0</v>
      </c>
      <c r="AN21" s="538">
        <f>IF(ISNUMBER(STDEV(AN8:AN18)),STDEV(AN8:AN18),"-")</f>
        <v>0</v>
      </c>
      <c r="AO21" s="539">
        <f>IF(ISNUMBER(STDEV(AO8:AO18)),STDEV(AO8:AO18),"-")</f>
        <v>1.1191345048944605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HT9M5M+Hgc9HRIs569Hd0sVJCWhvcU4R7HL42VXHg2stiZl61TNb4lwyez6e+fR0vOnLQ1LKusNzz//MMwapYQ==" saltValue="QGwlMWCC9WN0TpOzW16P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G7QV+SfRpy09BgSKt56woGsyAlvlNy7IB7sDD6/rVNi0Dc/Do1KcN2G4mrb/6RT4bV9PZybXlPF8891GcCqJA==" saltValue="zAJePkPqFM3/GgcOa+vr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aHLKsVnfDZo/g+6s+g7T6GyPXsB4Nl+q3CDNpieKT21RqjpW3E8GcwH3xejY73yZBz3mcVBH8JTOouiRXsKVw==" saltValue="7se9aA9Q42LK2wXh3YmU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VIELHA E MIJARAN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0.13010764773832473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tof7Vs4c7rhC1zl26NTGPuv2PuTGVQ7dUVrly02aJNYYte0OZh596WsIa+/Fj5KlLeuL2HLQWihE/jhJokFw0A==" saltValue="sAs/daTaJ8AMeMnWjbhq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XljBGAZoLbCKuzxbmgubAbylXzDUFllPDvCuSMt2lN0wHi8j9kGnoqO/xwaA8TMdy3ksYaJCmHE+dbewmYjAQ==" saltValue="QY+8/LMbpwGNaPR+XG9Y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VIELHA E MIJARAN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408</v>
      </c>
      <c r="D12" s="403">
        <f>IF(ISNUMBER(C12/Datos!BH12),C12/Datos!BH12," - ")</f>
        <v>408</v>
      </c>
      <c r="E12" s="402">
        <f>IF(ISNUMBER(IF(J_V="SI",Datos!J12,Datos!J12+Datos!Z12)),IF(J_V="SI",Datos!J12,Datos!J12+Datos!Z12)," - ")</f>
        <v>86</v>
      </c>
      <c r="F12" s="403">
        <f>IF(ISNUMBER(E12/B12),E12/B12," - ")</f>
        <v>86</v>
      </c>
      <c r="G12" s="402">
        <f>IF(ISNUMBER(IF(J_V="SI",Datos!K12,Datos!K12+Datos!AA12)),IF(J_V="SI",Datos!K12,Datos!K12+Datos!AA12)," - ")</f>
        <v>125</v>
      </c>
      <c r="H12" s="403">
        <f>IF(ISNUMBER(G12/B12),G12/B12," - ")</f>
        <v>125</v>
      </c>
      <c r="I12" s="402">
        <f>IF(ISNUMBER(IF(J_V="SI",Datos!L12,Datos!L12+Datos!AB12)),IF(J_V="SI",Datos!L12,Datos!L12+Datos!AB12)," - ")</f>
        <v>369</v>
      </c>
      <c r="J12" s="403">
        <f>IF(ISNUMBER(I12/B12),I12/B12," - ")</f>
        <v>369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409</v>
      </c>
      <c r="D13" s="849" t="str">
        <f>IF(ISNUMBER(C13/Datos!BI13),C13/Datos!BI13," - ")</f>
        <v xml:space="preserve"> - </v>
      </c>
      <c r="E13" s="848">
        <f>SUBTOTAL(9,E8:E12)</f>
        <v>86</v>
      </c>
      <c r="F13" s="849">
        <f>IF(ISNUMBER(E13/B13),E13/B13," - ")</f>
        <v>86</v>
      </c>
      <c r="G13" s="848">
        <f>SUBTOTAL(9,G8:G12)</f>
        <v>125</v>
      </c>
      <c r="H13" s="849">
        <f>IF(ISNUMBER(G13/B13),G13/B13," - ")</f>
        <v>125</v>
      </c>
      <c r="I13" s="848">
        <f>SUBTOTAL(9,I8:I12)</f>
        <v>370</v>
      </c>
      <c r="J13" s="849">
        <f>IF(ISNUMBER(I13/B13),I13/B13," - ")</f>
        <v>370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274</v>
      </c>
      <c r="D16" s="403">
        <f>IF(ISNUMBER(C16/Datos!BH16),C16/Datos!BH16," - ")</f>
        <v>274</v>
      </c>
      <c r="E16" s="402">
        <f>IF(ISNUMBER(IF(D_I="SI",Datos!J16,Datos!J16+Datos!AD16)),IF(D_I="SI",Datos!J16,Datos!J16+Datos!AD16)," - ")</f>
        <v>123</v>
      </c>
      <c r="F16" s="403">
        <f>IF(ISNUMBER(E16/B16),E16/B16," - ")</f>
        <v>123</v>
      </c>
      <c r="G16" s="402">
        <f>IF(ISNUMBER(IF(D_I="SI",Datos!K16,Datos!K16+Datos!AE16)),IF(D_I="SI",Datos!K16,Datos!K16+Datos!AE16)," - ")</f>
        <v>127</v>
      </c>
      <c r="H16" s="403">
        <f>IF(ISNUMBER(G16/B16),G16/B16," - ")</f>
        <v>127</v>
      </c>
      <c r="I16" s="402">
        <f>IF(ISNUMBER(IF(D_I="SI",Datos!L16,Datos!L16+Datos!AF16)),IF(D_I="SI",Datos!L16,Datos!L16+Datos!AF16)," - ")</f>
        <v>270</v>
      </c>
      <c r="J16" s="403">
        <f>IF(ISNUMBER(I16/B16),I16/B16," - ")</f>
        <v>270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v>
      </c>
      <c r="D17" s="403">
        <f>IF(ISNUMBER(C17/Datos!BH17),C17/Datos!BH17," - ")</f>
        <v>36</v>
      </c>
      <c r="E17" s="402">
        <f>IF(ISNUMBER(IF(D_I="SI",Datos!J17,Datos!J17+Datos!AD17)),IF(D_I="SI",Datos!J17,Datos!J17+Datos!AD17)," - ")</f>
        <v>13</v>
      </c>
      <c r="F17" s="403">
        <f>IF(ISNUMBER(E17/B17),E17/B17," - ")</f>
        <v>13</v>
      </c>
      <c r="G17" s="402">
        <f>IF(ISNUMBER(IF(D_I="SI",Datos!K17,Datos!K17+Datos!AE17)),IF(D_I="SI",Datos!K17,Datos!K17+Datos!AE17)," - ")</f>
        <v>18</v>
      </c>
      <c r="H17" s="403">
        <f>IF(ISNUMBER(G17/B17),G17/B17," - ")</f>
        <v>18</v>
      </c>
      <c r="I17" s="402">
        <f>IF(ISNUMBER(IF(D_I="SI",Datos!L17,Datos!L17+Datos!AF17)),IF(D_I="SI",Datos!L17,Datos!L17+Datos!AF17)," - ")</f>
        <v>31</v>
      </c>
      <c r="J17" s="403">
        <f>IF(ISNUMBER(I17/B17),I17/B17," - ")</f>
        <v>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310</v>
      </c>
      <c r="D18" s="849" t="str">
        <f>IF(ISNUMBER(C18/Datos!BI18),C18/Datos!BI18," - ")</f>
        <v xml:space="preserve"> - </v>
      </c>
      <c r="E18" s="848">
        <f>SUBTOTAL(9,E14:E17)</f>
        <v>136</v>
      </c>
      <c r="F18" s="849">
        <f>IF(ISNUMBER(E18/B18),E18/B18," - ")</f>
        <v>136</v>
      </c>
      <c r="G18" s="848">
        <f>SUBTOTAL(9,G14:G17)</f>
        <v>145</v>
      </c>
      <c r="H18" s="849">
        <f>IF(ISNUMBER(G18/B18),G18/B18," - ")</f>
        <v>145</v>
      </c>
      <c r="I18" s="848">
        <f>SUBTOTAL(9,I14:I17)</f>
        <v>301</v>
      </c>
      <c r="J18" s="849">
        <f>IF(ISNUMBER(I18/B18),I18/B18," - ")</f>
        <v>301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719</v>
      </c>
      <c r="D19" s="794" t="str">
        <f>IF(ISNUMBER(C19/Datos!BI19),C19/Datos!BI19," - ")</f>
        <v xml:space="preserve"> - </v>
      </c>
      <c r="E19" s="793">
        <f>SUBTOTAL(9,E9:E18)</f>
        <v>222</v>
      </c>
      <c r="F19" s="794">
        <f>IF(ISNUMBER(E19/B19),E19/B19," - ")</f>
        <v>222</v>
      </c>
      <c r="G19" s="793">
        <f>SUBTOTAL(9,G9:G18)</f>
        <v>270</v>
      </c>
      <c r="H19" s="794">
        <f>IF(ISNUMBER(G19/B19),G19/B19," - ")</f>
        <v>270</v>
      </c>
      <c r="I19" s="793">
        <f>SUBTOTAL(9,I9:I18)</f>
        <v>671</v>
      </c>
      <c r="J19" s="794">
        <f>IF(ISNUMBER(I19/B19),I19/B19," - ")</f>
        <v>671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7u9ovO17R3a+6UCHe8P5vWkpeWrJuKYeapQxwlsvDFXPVdhD9geoIs7w1Peh3ff93OZ/tewgXaxtevpwtY4WIA==" saltValue="2eNQuZ87DbMGecfZGUwk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VIELHA E MIJARAN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v>
      </c>
      <c r="AM12" s="689">
        <f>IF(ISNUMBER(Datos!N12+DatosP!N16),Datos!N12+DatosP!N16," - ")</f>
        <v>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5.9039999999999999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0.1366742596810934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105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45</v>
      </c>
      <c r="AE13" s="938">
        <f t="shared" si="1"/>
        <v>0</v>
      </c>
      <c r="AF13" s="938">
        <f t="shared" si="1"/>
        <v>1</v>
      </c>
      <c r="AG13" s="938">
        <f t="shared" si="1"/>
        <v>0</v>
      </c>
      <c r="AH13" s="938">
        <f t="shared" si="1"/>
        <v>499</v>
      </c>
      <c r="AI13" s="938">
        <f t="shared" si="1"/>
        <v>0</v>
      </c>
      <c r="AJ13" s="938">
        <f t="shared" si="1"/>
        <v>0</v>
      </c>
      <c r="AK13" s="938">
        <f t="shared" si="1"/>
        <v>0</v>
      </c>
      <c r="AL13" s="938">
        <f t="shared" si="1"/>
        <v>23</v>
      </c>
      <c r="AM13" s="938">
        <f t="shared" si="1"/>
        <v>54</v>
      </c>
      <c r="AN13" s="938">
        <f t="shared" si="1"/>
        <v>0</v>
      </c>
      <c r="AO13" s="938">
        <f t="shared" si="1"/>
        <v>0</v>
      </c>
      <c r="AP13" s="943">
        <f>IF(ISNUMBER(((Datos!L13/Datos!K13)*11)/factor_trimestre),((Datos!L13/Datos!K13)*11)/factor_trimestre," - ")</f>
        <v>6.051282051282052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0.1366742596810934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4.1517241379310343</v>
      </c>
      <c r="AQ18" s="943">
        <f>IF(ISNUMBER(((Datos!M18/Datos!L18)*11)/factor_trimestre),((Datos!M18/Datos!L18)*11)/factor_trimestre," - ")</f>
        <v>8.6378737541528236E-2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-9.6153846153846159E-2</v>
      </c>
      <c r="AW18" s="945">
        <f>IF(ISNUMBER((Datos!Q18-Datos!R18)/(Datos!S18-Datos!Q18+Datos!R18)),(Datos!Q18-Datos!R18)/(Datos!S18-Datos!Q18+Datos!R18)," - ")</f>
        <v>-9.2807424593967514E-2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105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45</v>
      </c>
      <c r="AE19" s="956">
        <f t="shared" si="5"/>
        <v>0</v>
      </c>
      <c r="AF19" s="957">
        <f t="shared" si="5"/>
        <v>1</v>
      </c>
      <c r="AG19" s="957">
        <f t="shared" si="5"/>
        <v>0</v>
      </c>
      <c r="AH19" s="957">
        <f t="shared" si="5"/>
        <v>499</v>
      </c>
      <c r="AI19" s="957">
        <f t="shared" si="5"/>
        <v>0</v>
      </c>
      <c r="AJ19" s="958">
        <f t="shared" si="5"/>
        <v>0</v>
      </c>
      <c r="AK19" s="958">
        <f t="shared" si="5"/>
        <v>0</v>
      </c>
      <c r="AL19" s="950">
        <f t="shared" si="5"/>
        <v>23</v>
      </c>
      <c r="AM19" s="950">
        <f t="shared" si="5"/>
        <v>54</v>
      </c>
      <c r="AN19" s="950">
        <f t="shared" si="5"/>
        <v>0</v>
      </c>
      <c r="AO19" s="950">
        <f t="shared" si="5"/>
        <v>0</v>
      </c>
      <c r="AP19" s="950">
        <f>IF(ISNUMBER(((Datos!L19/Datos!K19)*11)/factor_trimestre),((Datos!L19/Datos!K19)*11)/factor_trimestre," - ")</f>
        <v>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0.11201629327902241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13.279056191361393</v>
      </c>
      <c r="AM21" s="735"/>
      <c r="AN21" s="735">
        <f>IF(ISNUMBER(STDEV(AN8:AN18)),STDEV(AN8:AN18),"-")</f>
        <v>0</v>
      </c>
      <c r="AO21" s="741">
        <f>IF(ISNUMBER(STDEV(AO8:AO18)),STDEV(AO8:AO18),"-")</f>
        <v>0</v>
      </c>
      <c r="AP21" s="778">
        <f>IF(ISNUMBER(STDEV(AP8:AP18)),STDEV(AP8:AP18),"-")</f>
        <v>1.0567625849415374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pRHvplHI70JdU9vpB5kxtTiaVkTf2/blSp+X/J4jx93NObbHyIx09CcBT8/ehvdLMYNIbBN546rWMoGpIe7/Pg==" saltValue="NDpaGbOEhrhcVslotT5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VIELHA E MIJARAN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r8Pt3r8CkD3LST2BcFS2Su5Ihueb4PT2LKgrkxXxSeWsyBte3HDu416Q3rLaw3j8Asyx2Rx/VRWmMjDFy5tO9Q==" saltValue="HIh0plbSky+3uJs3Anex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VIELHA E MIJARAN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23</v>
      </c>
      <c r="E12" s="403">
        <f t="shared" si="0"/>
        <v>23</v>
      </c>
      <c r="F12" s="402">
        <f>IF(ISNUMBER(Datos!N12),Datos!N12," - ")</f>
        <v>54</v>
      </c>
      <c r="G12" s="403">
        <f t="shared" si="1"/>
        <v>54</v>
      </c>
      <c r="H12" s="402">
        <f>IF(ISNUMBER(Datos!O12),Datos!O12," - ")</f>
        <v>85</v>
      </c>
      <c r="I12" s="403">
        <f t="shared" si="2"/>
        <v>85</v>
      </c>
      <c r="BZ12" s="1185">
        <f>Datos!EZ12</f>
        <v>0</v>
      </c>
    </row>
    <row r="13" spans="1:78" ht="14.25" thickTop="1" thickBot="1">
      <c r="A13" s="847" t="str">
        <f>Datos!A13</f>
        <v>TOTAL</v>
      </c>
      <c r="B13" s="848">
        <f>Datos!AP13</f>
        <v>1</v>
      </c>
      <c r="C13" s="850">
        <f>Datos!AR13</f>
        <v>1</v>
      </c>
      <c r="D13" s="848">
        <f>SUBTOTAL(9,D9:D12)</f>
        <v>23</v>
      </c>
      <c r="E13" s="849">
        <f t="shared" si="0"/>
        <v>23</v>
      </c>
      <c r="F13" s="848">
        <f>SUBTOTAL(9,F9:F12)</f>
        <v>54</v>
      </c>
      <c r="G13" s="849">
        <f t="shared" si="1"/>
        <v>54</v>
      </c>
      <c r="H13" s="848">
        <f>SUBTOTAL(9,H9:H12)</f>
        <v>85</v>
      </c>
      <c r="I13" s="849">
        <f>IF(ISNUMBER(H13/B13),H13/B13," - ")</f>
        <v>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v>
      </c>
      <c r="E16" s="403">
        <f t="shared" si="3"/>
        <v>13</v>
      </c>
      <c r="F16" s="402">
        <f>IF(ISNUMBER(Datos!N16),Datos!N16," - ")</f>
        <v>105</v>
      </c>
      <c r="G16" s="403">
        <f t="shared" si="4"/>
        <v>105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v>
      </c>
      <c r="E18" s="849">
        <f t="shared" si="3"/>
        <v>13</v>
      </c>
      <c r="F18" s="848">
        <f>SUBTOTAL(9,F15:F17)</f>
        <v>121</v>
      </c>
      <c r="G18" s="849">
        <f t="shared" si="4"/>
        <v>121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36</v>
      </c>
      <c r="E19" s="794">
        <f>IF(ISNUMBER(D19/B19),D19/B19," - ")</f>
        <v>36</v>
      </c>
      <c r="F19" s="793">
        <f>SUBTOTAL(9,F8:F18)</f>
        <v>175</v>
      </c>
      <c r="G19" s="794">
        <f>IF(ISNUMBER(F19/B19),F19/B19," - ")</f>
        <v>175</v>
      </c>
      <c r="H19" s="793">
        <f>SUBTOTAL(9,H8:H18)</f>
        <v>85</v>
      </c>
      <c r="I19" s="794">
        <f>IF(ISNUMBER(H19/B19),H19/B19," - ")</f>
        <v>85</v>
      </c>
    </row>
    <row r="22" spans="1:78">
      <c r="A22" s="390" t="str">
        <f>Criterios!A4</f>
        <v>Fecha Informe: 09 dic. 2025</v>
      </c>
    </row>
    <row r="27" spans="1:78">
      <c r="A27" s="413"/>
    </row>
  </sheetData>
  <sheetProtection algorithmName="SHA-512" hashValue="D1N4LEt8SE7eoMScYNkFocMMq9zjfO1V4j4l4sz+0dzOqNatQX3/U/6ySOilAFR2v/BgTSmQ+OWvHFMsZcYynA==" saltValue="w8CwiAZQel+MUVRIllHH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VIELHA E MIJARAN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105</v>
      </c>
      <c r="C12" s="433">
        <f>IF(ISNUMBER(Datos!Q12),Datos!Q12," - ")</f>
        <v>45</v>
      </c>
      <c r="D12" s="407">
        <f>IF(ISNUMBER(Datos!R12),Datos!R12," - ")</f>
        <v>499</v>
      </c>
    </row>
    <row r="13" spans="1:4" ht="14.25" thickTop="1" thickBot="1">
      <c r="A13" s="847" t="str">
        <f>Datos!A13</f>
        <v>TOTAL</v>
      </c>
      <c r="B13" s="848">
        <f>SUBTOTAL(9,B9:B12)</f>
        <v>105</v>
      </c>
      <c r="C13" s="852">
        <f>SUBTOTAL(9,C9:C12)</f>
        <v>45</v>
      </c>
      <c r="D13" s="850">
        <f>SUBTOTAL(9,D9:D12)</f>
        <v>499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7</v>
      </c>
      <c r="D16" s="407">
        <f>IF(ISNUMBER(Datos!R16),Datos!R16," - ")</f>
        <v>47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7</v>
      </c>
      <c r="D18" s="850">
        <f>SUBTOTAL(9,D15:D17)</f>
        <v>47</v>
      </c>
    </row>
    <row r="19" spans="1:4" ht="16.5" customHeight="1" thickTop="1" thickBot="1">
      <c r="A19" s="792" t="str">
        <f>Datos!A19</f>
        <v>TOTAL JURISDICCIONES</v>
      </c>
      <c r="B19" s="797">
        <f>SUBTOTAL(9,B8:B18)</f>
        <v>107</v>
      </c>
      <c r="C19" s="798">
        <f>SUBTOTAL(9,C8:C18)</f>
        <v>52</v>
      </c>
      <c r="D19" s="799">
        <f>SUBTOTAL(9,D8:D18)</f>
        <v>546</v>
      </c>
    </row>
    <row r="20" spans="1:4" ht="7.5" customHeight="1"/>
    <row r="21" spans="1:4" ht="6" customHeight="1"/>
    <row r="22" spans="1:4">
      <c r="A22" s="390" t="str">
        <f>Criterios!A4</f>
        <v>Fecha Informe: 09 dic. 2025</v>
      </c>
    </row>
    <row r="27" spans="1:4">
      <c r="A27" s="413"/>
    </row>
  </sheetData>
  <sheetProtection algorithmName="SHA-512" hashValue="lwQmymw0YTew9bmIjNPTvPLzXBdzV/pJdrZhz+dbvUo0hLA05e8vz7TYK0EpFJXw9mLiTzsUptSpLEmOxUSRqQ==" saltValue="A5yQUbx8Uq64Xoczb36r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VIELHA E MIJARAN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-0.30612244897959184</v>
      </c>
      <c r="C12" s="455">
        <f>IF(ISNUMBER(
   IF(J_V="SI",(Datos!J12-Datos!T12)/Datos!T12,(Datos!J12+Datos!Z12-(Datos!T12+Datos!AH12))/(Datos!T12+Datos!AH12))
     ),IF(J_V="SI",(Datos!J12-Datos!T12)/Datos!T12,(Datos!J12+Datos!Z12-(Datos!T12+Datos!AH12))/(Datos!T12+Datos!AH12))," - ")</f>
        <v>-2.2727272727272728E-2</v>
      </c>
      <c r="D12" s="455">
        <f>IF(ISNUMBER(
   IF(J_V="SI",(Datos!K12-Datos!U12)/Datos!U12,(Datos!K12+Datos!AA12-(Datos!U12+Datos!AI12))/(Datos!U12+Datos!AI12))
     ),IF(J_V="SI",(Datos!K12-Datos!U12)/Datos!U12,(Datos!K12+Datos!AA12-(Datos!U12+Datos!AI12))/(Datos!U12+Datos!AI12))," - ")</f>
        <v>-0.31318681318681318</v>
      </c>
      <c r="E12" s="455">
        <f>IF(ISNUMBER(
   IF(J_V="SI",(Datos!L12-Datos!V12)/Datos!V12,(Datos!L12+Datos!AB12-(Datos!V12+Datos!AJ12))/(Datos!V12+Datos!AJ12))
     ),IF(J_V="SI",(Datos!L12-Datos!V12)/Datos!V12,(Datos!L12+Datos!AB12-(Datos!V12+Datos!AJ12))/(Datos!V12+Datos!AJ12))," - ")</f>
        <v>-0.25303643724696356</v>
      </c>
      <c r="F12" s="455">
        <f>IF(ISNUMBER((Datos!M12-Datos!W12)/Datos!W12),(Datos!M12-Datos!W12)/Datos!W12," - ")</f>
        <v>-0.5490196078431373</v>
      </c>
      <c r="G12" s="456">
        <f>IF(ISNUMBER((Datos!N12-Datos!X12)/Datos!X12),(Datos!N12-Datos!X12)/Datos!X12," - ")</f>
        <v>0.2558139534883721</v>
      </c>
      <c r="H12" s="454">
        <f>IF(ISNUMBER(((NºAsuntos!G12/NºAsuntos!E12)-Datos!BD12)/Datos!BD12),((NºAsuntos!G12/NºAsuntos!E12)-Datos!BD12)/Datos!BD12," - ")</f>
        <v>-0.29721441349348338</v>
      </c>
      <c r="I12" s="455">
        <f>IF(ISNUMBER(((NºAsuntos!I12/NºAsuntos!G12)-Datos!BE12)/Datos!BE12),((NºAsuntos!I12/NºAsuntos!G12)-Datos!BE12)/Datos!BE12," - ")</f>
        <v>8.7578947368420992E-2</v>
      </c>
      <c r="J12" s="460">
        <f>IF(ISNUMBER((('Resol  Asuntos'!D12/NºAsuntos!G12)-Datos!BF12)/Datos!BF12),(('Resol  Asuntos'!D12/NºAsuntos!G12)-Datos!BF12)/Datos!BF12," - ")</f>
        <v>-0.22120930232558139</v>
      </c>
      <c r="K12" s="461">
        <f>IF(ISNUMBER((((NºAsuntos!C12+NºAsuntos!E12)/NºAsuntos!G12)-Datos!BG12)/Datos!BG12),(((NºAsuntos!C12+NºAsuntos!E12)/NºAsuntos!G12)-Datos!BG12)/Datos!BG12," - ")</f>
        <v>6.3999999999999946E-2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-0.30560271646859083</v>
      </c>
      <c r="C13" s="854">
        <f>IF(ISNUMBER(
   IF(J_V="SI",(Datos!J13-Datos!T13)/Datos!T13,(Datos!J13+Datos!Z13-(Datos!T13+Datos!AH13))/(Datos!T13+Datos!AH13))
     ),IF(J_V="SI",(Datos!J13-Datos!T13)/Datos!T13,(Datos!J13+Datos!Z13-(Datos!T13+Datos!AH13))/(Datos!T13+Datos!AH13))," - ")</f>
        <v>-2.2727272727272728E-2</v>
      </c>
      <c r="D13" s="854">
        <f>IF(ISNUMBER(
   IF(J_V="SI",(Datos!K13-Datos!U13)/Datos!U13,(Datos!K13+Datos!AA13-(Datos!U13+Datos!AI13))/(Datos!U13+Datos!AI13))
     ),IF(J_V="SI",(Datos!K13-Datos!U13)/Datos!U13,(Datos!K13+Datos!AA13-(Datos!U13+Datos!AI13))/(Datos!U13+Datos!AI13))," - ")</f>
        <v>-0.31318681318681318</v>
      </c>
      <c r="E13" s="854">
        <f>IF(ISNUMBER(
   IF(J_V="SI",(Datos!L13-Datos!V13)/Datos!V13,(Datos!L13+Datos!AB13-(Datos!V13+Datos!AJ13))/(Datos!V13+Datos!AJ13))
     ),IF(J_V="SI",(Datos!L13-Datos!V13)/Datos!V13,(Datos!L13+Datos!AB13-(Datos!V13+Datos!AJ13))/(Datos!V13+Datos!AJ13))," - ")</f>
        <v>-0.25252525252525254</v>
      </c>
      <c r="F13" s="855">
        <f>IF(ISNUMBER((Datos!M13-Datos!W13)/Datos!W13),(Datos!M13-Datos!W13)/Datos!W13," - ")</f>
        <v>-0.5490196078431373</v>
      </c>
      <c r="G13" s="856">
        <f>IF(ISNUMBER((Datos!N13-Datos!X13)/Datos!X13),(Datos!N13-Datos!X13)/Datos!X13," - ")</f>
        <v>0.2558139534883721</v>
      </c>
      <c r="H13" s="856">
        <f>IF(ISNUMBER(((NºAsuntos!G13/NºAsuntos!E13)-Datos!BD13)/Datos!BD13),((NºAsuntos!G13/NºAsuntos!E13)-Datos!BD13)/Datos!BD13," - ")</f>
        <v>-0.29721441349348338</v>
      </c>
      <c r="I13" s="856">
        <f>IF(ISNUMBER(((NºAsuntos!I13/NºAsuntos!G13)-Datos!BE13)/Datos!BE13),((NºAsuntos!I13/NºAsuntos!G13)-Datos!BE13)/Datos!BE13," - ")</f>
        <v>8.8323232323232262E-2</v>
      </c>
      <c r="J13" s="856">
        <f>IF(ISNUMBER((('Resol  Asuntos'!D13/NºAsuntos!G13)-Datos!BF13)/Datos!BF13),(('Resol  Asuntos'!D13/NºAsuntos!G13)-Datos!BF13)/Datos!BF13," - ")</f>
        <v>-0.22120930232558139</v>
      </c>
      <c r="K13" s="856">
        <f>IF(ISNUMBER((((NºAsuntos!C13+NºAsuntos!E13)/NºAsuntos!G13)-Datos!BG13)/Datos!BG13),(((NºAsuntos!C13+NºAsuntos!E13)/NºAsuntos!G13)-Datos!BG13)/Datos!BG13," - ")</f>
        <v>6.4579025110782826E-2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-0.20116618075801748</v>
      </c>
      <c r="C16" s="455">
        <f>IF(ISNUMBER(
   IF(D_I="SI",(Datos!J16-Datos!T16)/Datos!T16,(Datos!J16+Datos!AD16-(Datos!T16+Datos!AL16))/(Datos!T16+Datos!AL16))
     ),IF(D_I="SI",(Datos!J16-Datos!T16)/Datos!T16,(Datos!J16+Datos!AD16-(Datos!T16+Datos!AL16))/(Datos!T16+Datos!AL16))," - ")</f>
        <v>-0.13986013986013987</v>
      </c>
      <c r="D16" s="455">
        <f>IF(ISNUMBER(
   IF(D_I="SI",(Datos!K16-Datos!U16)/Datos!U16,(Datos!K16+Datos!AE16-(Datos!U16+Datos!AM16))/(Datos!U16+Datos!AM16))
     ),IF(D_I="SI",(Datos!K16-Datos!U16)/Datos!U16,(Datos!K16+Datos!AE16-(Datos!U16+Datos!AM16))/(Datos!U16+Datos!AM16))," - ")</f>
        <v>-0.25294117647058822</v>
      </c>
      <c r="E16" s="455">
        <f>IF(ISNUMBER(
   IF(D_I="SI",(Datos!L16-Datos!V16)/Datos!V16,(Datos!L16+Datos!AF16-(Datos!V16+Datos!AN16))/(Datos!V16+Datos!AN16))
     ),IF(D_I="SI",(Datos!L16-Datos!V16)/Datos!V16,(Datos!L16+Datos!AF16-(Datos!V16+Datos!AN16))/(Datos!V16+Datos!AN16))," - ")</f>
        <v>-0.14556962025316456</v>
      </c>
      <c r="F16" s="455">
        <f>IF(ISNUMBER((Datos!M16-Datos!W16)/Datos!W16),(Datos!M16-Datos!W16)/Datos!W16," - ")</f>
        <v>-0.45833333333333331</v>
      </c>
      <c r="G16" s="456">
        <f>IF(ISNUMBER((Datos!N16-Datos!X16)/Datos!X16),(Datos!N16-Datos!X16)/Datos!X16," - ")</f>
        <v>0.4</v>
      </c>
      <c r="H16" s="454">
        <f>IF(ISNUMBER(((NºAsuntos!G16/NºAsuntos!E16)-Datos!BD16)/Datos!BD16),((NºAsuntos!G16/NºAsuntos!E16)-Datos!BD16)/Datos!BD16," - ")</f>
        <v>-0.13146819703491153</v>
      </c>
      <c r="I16" s="455">
        <f>IF(ISNUMBER(((NºAsuntos!I16/NºAsuntos!G16)-Datos!BE16)/Datos!BE16),((NºAsuntos!I16/NºAsuntos!G16)-Datos!BE16)/Datos!BE16," - ")</f>
        <v>0.14372570517292943</v>
      </c>
      <c r="J16" s="460">
        <f>IF(ISNUMBER((('Resol  Asuntos'!D16/NºAsuntos!G16)-Datos!BF16)/Datos!BF16),(('Resol  Asuntos'!D16/NºAsuntos!G16)-Datos!BF16)/Datos!BF16," - ")</f>
        <v>-0.27493438320209973</v>
      </c>
      <c r="K16" s="461">
        <f>IF(ISNUMBER((((NºAsuntos!C16+NºAsuntos!E16)/NºAsuntos!G16)-Datos!BG16)/Datos!BG16),(((NºAsuntos!C16+NºAsuntos!E16)/NºAsuntos!G16)-Datos!BG16)/Datos!BG16," - ")</f>
        <v>9.3451281552768925E-2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v>
      </c>
      <c r="C17" s="455">
        <f>IF(ISNUMBER(
   IF(D_I="SI",(Datos!J17-Datos!T17)/Datos!T17,(Datos!J17+Datos!AD17-(Datos!T17+Datos!AL17))/(Datos!T17+Datos!AL17))
     ),IF(D_I="SI",(Datos!J17-Datos!T17)/Datos!T17,(Datos!J17+Datos!AD17-(Datos!T17+Datos!AL17))/(Datos!T17+Datos!AL17))," - ")</f>
        <v>1.6</v>
      </c>
      <c r="D17" s="455">
        <f>IF(ISNUMBER(
   IF(D_I="SI",(Datos!K17-Datos!U17)/Datos!U17,(Datos!K17+Datos!AE17-(Datos!U17+Datos!AM17))/(Datos!U17+Datos!AM17))
     ),IF(D_I="SI",(Datos!K17-Datos!U17)/Datos!U17,(Datos!K17+Datos!AE17-(Datos!U17+Datos!AM17))/(Datos!U17+Datos!AM17))," - ")</f>
        <v>1.25</v>
      </c>
      <c r="E17" s="455">
        <f>IF(ISNUMBER(
   IF(D_I="SI",(Datos!L17-Datos!V17)/Datos!V17,(Datos!L17+Datos!AF17-(Datos!V17+Datos!AN17))/(Datos!V17+Datos!AN17))
     ),IF(D_I="SI",(Datos!L17-Datos!V17)/Datos!V17,(Datos!L17+Datos!AF17-(Datos!V17+Datos!AN17))/(Datos!V17+Datos!AN17))," - ")</f>
        <v>-0.31111111111111112</v>
      </c>
      <c r="F17" s="455" t="str">
        <f>IF(ISNUMBER((Datos!M17-Datos!W17)/Datos!W17),(Datos!M17-Datos!W17)/Datos!W17," - ")</f>
        <v xml:space="preserve"> - </v>
      </c>
      <c r="G17" s="456">
        <f>IF(ISNUMBER((Datos!N17-Datos!X17)/Datos!X17),(Datos!N17-Datos!X17)/Datos!X17," - ")</f>
        <v>0.23076923076923078</v>
      </c>
      <c r="H17" s="454">
        <f>IF(ISNUMBER(((NºAsuntos!G17/NºAsuntos!E17)-Datos!BD17)/Datos!BD17),((NºAsuntos!G17/NºAsuntos!E17)-Datos!BD17)/Datos!BD17," - ")</f>
        <v>-0.13461538461538469</v>
      </c>
      <c r="I17" s="455">
        <f>IF(ISNUMBER(((NºAsuntos!I17/NºAsuntos!G17)-Datos!BE17)/Datos!BE17),((NºAsuntos!I17/NºAsuntos!G17)-Datos!BE17)/Datos!BE17," - ")</f>
        <v>-0.69382716049382709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-0.58909853249475885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-0.20716112531969311</v>
      </c>
      <c r="C18" s="854">
        <f>IF(ISNUMBER(
   IF(Criterios!B14="SI",(Datos!J18-Datos!T18)/Datos!T18,(Datos!J18+Datos!AD18-(Datos!T18+Datos!AL18))/(Datos!T18+Datos!AL18))
     ),IF(Criterios!B14="SI",(Datos!J18-Datos!T18)/Datos!T18,(Datos!J18+Datos!AD18-(Datos!T18+Datos!AL18))/(Datos!T18+Datos!AL18))," - ")</f>
        <v>-8.1081081081081086E-2</v>
      </c>
      <c r="D18" s="854">
        <f>IF(ISNUMBER(
   IF(Criterios!B14="SI",(Datos!K18-Datos!U18)/Datos!U18,(Datos!K18+Datos!AE18-(Datos!U18+Datos!AM18))/(Datos!U18+Datos!AM18))
     ),IF(Criterios!B14="SI",(Datos!K18-Datos!U18)/Datos!U18,(Datos!K18+Datos!AE18-(Datos!U18+Datos!AM18))/(Datos!U18+Datos!AM18))," - ")</f>
        <v>-0.1853932584269663</v>
      </c>
      <c r="E18" s="854">
        <f>IF(ISNUMBER(
   IF(Criterios!B14="SI",(Datos!L18-Datos!V18)/Datos!V18,(Datos!L18+Datos!AF18-(Datos!V18+Datos!AN18))/(Datos!V18+Datos!AN18))
     ),IF(Criterios!B14="SI",(Datos!L18-Datos!V18)/Datos!V18,(Datos!L18+Datos!AF18-(Datos!V18+Datos!AN18))/(Datos!V18+Datos!AN18))," - ")</f>
        <v>-0.16620498614958448</v>
      </c>
      <c r="F18" s="855">
        <f>IF(ISNUMBER((Datos!M18-Datos!W18)/Datos!W18),(Datos!M18-Datos!W18)/Datos!W18," - ")</f>
        <v>-0.45833333333333331</v>
      </c>
      <c r="G18" s="856">
        <f>IF(ISNUMBER((Datos!N18-Datos!X18)/Datos!X18),(Datos!N18-Datos!X18)/Datos!X18," - ")</f>
        <v>0.375</v>
      </c>
      <c r="H18" s="856">
        <f>IF(ISNUMBER(((NºAsuntos!G18/NºAsuntos!E18)-Datos!BD18)/Datos!BD18),((NºAsuntos!G18/NºAsuntos!E18)-Datos!BD18)/Datos!BD18," - ")</f>
        <v>-0.11351619299405151</v>
      </c>
      <c r="I18" s="856">
        <f>IF(ISNUMBER(((NºAsuntos!I18/NºAsuntos!G18)-Datos!BE18)/Datos!BE18),((NºAsuntos!I18/NºAsuntos!G18)-Datos!BE18)/Datos!BE18," - ")</f>
        <v>2.3555258381889262E-2</v>
      </c>
      <c r="J18" s="856">
        <f>IF(ISNUMBER((('Resol  Asuntos'!D18/NºAsuntos!G18)-Datos!BF18)/Datos!BF18),(('Resol  Asuntos'!D18/NºAsuntos!G18)-Datos!BF18)/Datos!BF18," - ")</f>
        <v>-0.3350574712643678</v>
      </c>
      <c r="K18" s="856">
        <f>IF(ISNUMBER((((NºAsuntos!C18+NºAsuntos!E18)/NºAsuntos!G18)-Datos!BG18)/Datos!BG18),(((NºAsuntos!C18+NºAsuntos!E18)/NºAsuntos!G18)-Datos!BG18)/Datos!BG18," - ")</f>
        <v>1.5776341884716185E-2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-0.26632653061224487</v>
      </c>
      <c r="C19" s="801">
        <f>IF(ISNUMBER(
   IF(J_V="SI",(Datos!J19-Datos!T19)/Datos!T19,(Datos!J19+Datos!Z19-(Datos!T19+Datos!AH19))/(Datos!T19+Datos!AH19))
     ),IF(J_V="SI",(Datos!J19-Datos!T19)/Datos!T19,(Datos!J19+Datos!Z19-(Datos!T19+Datos!AH19))/(Datos!T19+Datos!AH19))," - ")</f>
        <v>-5.9322033898305086E-2</v>
      </c>
      <c r="D19" s="801">
        <f>IF(ISNUMBER(
   IF(J_V="SI",(Datos!K19-Datos!U19)/Datos!U19,(Datos!K19+Datos!AA19-(Datos!U19+Datos!AI19))/(Datos!U19+Datos!AI19))
     ),IF(J_V="SI",(Datos!K19-Datos!U19)/Datos!U19,(Datos!K19+Datos!AA19-(Datos!U19+Datos!AI19))/(Datos!U19+Datos!AI19))," - ")</f>
        <v>-0.25</v>
      </c>
      <c r="E19" s="801">
        <f>IF(ISNUMBER(
   IF(J_V="SI",(Datos!L19-Datos!V19)/Datos!V19,(Datos!L19+Datos!AB19-(Datos!V19+Datos!AJ19))/(Datos!V19+Datos!AJ19))
     ),IF(J_V="SI",(Datos!L19-Datos!V19)/Datos!V19,(Datos!L19+Datos!AB19-(Datos!V19+Datos!AJ19))/(Datos!V19+Datos!AJ19))," - ")</f>
        <v>-0.21612149532710281</v>
      </c>
      <c r="F19" s="802">
        <f>IF(ISNUMBER((Datos!M19-Datos!W19)/Datos!W19),(Datos!M19-Datos!W19)/Datos!W19," - ")</f>
        <v>-0.52</v>
      </c>
      <c r="G19" s="803">
        <f>IF(ISNUMBER((Datos!N19-Datos!X19)/Datos!X19),(Datos!N19-Datos!X19)/Datos!X19," - ")</f>
        <v>0.33587786259541985</v>
      </c>
      <c r="H19" s="804">
        <f>IF(ISNUMBER((Tasas!B19-Datos!BD19)/Datos!BD19),(Tasas!B19-Datos!BD19)/Datos!BD19," - ")</f>
        <v>-0.20270270270270266</v>
      </c>
      <c r="I19" s="805">
        <f>IF(ISNUMBER((Tasas!C19-Datos!BE19)/Datos!BE19),(Tasas!C19-Datos!BE19)/Datos!BE19," - ")</f>
        <v>4.5171339563863017E-2</v>
      </c>
      <c r="J19" s="806">
        <f>IF(ISNUMBER((Tasas!D19-Datos!BF19)/Datos!BF19),(Tasas!D19-Datos!BF19)/Datos!BF19," - ")</f>
        <v>-0.28358208955223885</v>
      </c>
      <c r="K19" s="806">
        <f>IF(ISNUMBER((Tasas!E19-Datos!BG19)/Datos!BG19),(Tasas!E19-Datos!BG19)/Datos!BG19," - ")</f>
        <v>3.1798245614035152E-2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FgvLkxPLj1ga2bBKZhwSyN1FflxyEHUcdt2DCwc8jRbD3FKTCUSvQFryOkh0IawEvII6prmPWTJqEoKIZyizA==" saltValue="GylFEj3h5lKb9oWZXHfz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VIELHA E MIJARAN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1.4534883720930232</v>
      </c>
      <c r="C12" s="442">
        <f>IF(ISNUMBER(NºAsuntos!I12/NºAsuntos!G12),NºAsuntos!I12/NºAsuntos!G12," - ")</f>
        <v>2.952</v>
      </c>
      <c r="D12" s="443">
        <f>IF(ISNUMBER('Resol  Asuntos'!D12/NºAsuntos!G12),'Resol  Asuntos'!D12/NºAsuntos!G12," - ")</f>
        <v>0.184</v>
      </c>
      <c r="E12" s="444">
        <f>IF(ISNUMBER((NºAsuntos!C12+NºAsuntos!E12)/NºAsuntos!G12),(NºAsuntos!C12+NºAsuntos!E12)/NºAsuntos!G12," - ")</f>
        <v>3.952</v>
      </c>
      <c r="G12" s="462"/>
    </row>
    <row r="13" spans="1:7" ht="14.25" thickTop="1" thickBot="1">
      <c r="A13" s="847" t="str">
        <f>Datos!A13</f>
        <v>TOTAL</v>
      </c>
      <c r="B13" s="857">
        <f>IF(ISNUMBER(NºAsuntos!G13/NºAsuntos!E13),NºAsuntos!G13/NºAsuntos!E13," - ")</f>
        <v>1.4534883720930232</v>
      </c>
      <c r="C13" s="858">
        <f>IF(ISNUMBER(NºAsuntos!I13/NºAsuntos!G13),NºAsuntos!I13/NºAsuntos!G13," - ")</f>
        <v>2.96</v>
      </c>
      <c r="D13" s="859">
        <f>IF(ISNUMBER('Resol  Asuntos'!D13/NºAsuntos!G13),'Resol  Asuntos'!D13/NºAsuntos!G13," - ")</f>
        <v>0.184</v>
      </c>
      <c r="E13" s="860">
        <f>IF(ISNUMBER((NºAsuntos!C13+NºAsuntos!E13)/NºAsuntos!G13),(NºAsuntos!C13+NºAsuntos!E13)/NºAsuntos!G13," - ")</f>
        <v>3.96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1.032520325203252</v>
      </c>
      <c r="C16" s="442">
        <f>IF(ISNUMBER(NºAsuntos!I16/NºAsuntos!G16),NºAsuntos!I16/NºAsuntos!G16," - ")</f>
        <v>2.1259842519685042</v>
      </c>
      <c r="D16" s="443">
        <f>IF(ISNUMBER('Resol  Asuntos'!D16/NºAsuntos!G16),'Resol  Asuntos'!D16/NºAsuntos!G16," - ")</f>
        <v>0.10236220472440945</v>
      </c>
      <c r="E16" s="444">
        <f>IF(ISNUMBER((NºAsuntos!C16+NºAsuntos!E16)/NºAsuntos!G16),(NºAsuntos!C16+NºAsuntos!E16)/NºAsuntos!G16," - ")</f>
        <v>3.1259842519685042</v>
      </c>
      <c r="G16" s="462"/>
    </row>
    <row r="17" spans="1:7" ht="21.75" thickBot="1">
      <c r="A17" s="401" t="str">
        <f>Datos!A17</f>
        <v>Jdos. Violencia contra la mujer/Secc Viol. TI.</v>
      </c>
      <c r="B17" s="441">
        <f>IF(ISNUMBER(NºAsuntos!G17/NºAsuntos!E17),NºAsuntos!G17/NºAsuntos!E17," - ")</f>
        <v>1.3846153846153846</v>
      </c>
      <c r="C17" s="442">
        <f>IF(ISNUMBER(NºAsuntos!I17/NºAsuntos!G17),NºAsuntos!I17/NºAsuntos!G17," - ")</f>
        <v>1.7222222222222223</v>
      </c>
      <c r="D17" s="443">
        <f>IF(ISNUMBER('Resol  Asuntos'!D17/NºAsuntos!G17),'Resol  Asuntos'!D17/NºAsuntos!G17," - ")</f>
        <v>0</v>
      </c>
      <c r="E17" s="444">
        <f>IF(ISNUMBER((NºAsuntos!C17+NºAsuntos!E17)/NºAsuntos!G17),(NºAsuntos!C17+NºAsuntos!E17)/NºAsuntos!G17," - ")</f>
        <v>2.7222222222222223</v>
      </c>
      <c r="G17" s="462"/>
    </row>
    <row r="18" spans="1:7" ht="14.25" thickTop="1" thickBot="1">
      <c r="A18" s="847" t="str">
        <f>Datos!A18</f>
        <v>TOTAL</v>
      </c>
      <c r="B18" s="857">
        <f>IF(ISNUMBER(NºAsuntos!G18/NºAsuntos!E18),NºAsuntos!G18/NºAsuntos!E18," - ")</f>
        <v>1.0661764705882353</v>
      </c>
      <c r="C18" s="858">
        <f>IF(ISNUMBER(NºAsuntos!I18/NºAsuntos!G18),NºAsuntos!I18/NºAsuntos!G18," - ")</f>
        <v>2.0758620689655172</v>
      </c>
      <c r="D18" s="861">
        <f>IF(ISNUMBER('Resol  Asuntos'!D18/NºAsuntos!G18),'Resol  Asuntos'!D18/NºAsuntos!G18," - ")</f>
        <v>8.9655172413793102E-2</v>
      </c>
      <c r="E18" s="860">
        <f>IF(ISNUMBER((NºAsuntos!C18+NºAsuntos!E18)/NºAsuntos!G18),(NºAsuntos!C18+NºAsuntos!E18)/NºAsuntos!G18," - ")</f>
        <v>3.0758620689655172</v>
      </c>
      <c r="G18" s="462"/>
    </row>
    <row r="19" spans="1:7" ht="15.75" customHeight="1" thickTop="1" thickBot="1">
      <c r="A19" s="792" t="str">
        <f>Datos!A19</f>
        <v>TOTAL JURISDICCIONES</v>
      </c>
      <c r="B19" s="807">
        <f>IF(ISNUMBER(NºAsuntos!G19/NºAsuntos!E19),NºAsuntos!G19/NºAsuntos!E19," - ")</f>
        <v>1.2162162162162162</v>
      </c>
      <c r="C19" s="808">
        <f>IF(ISNUMBER(NºAsuntos!I19/NºAsuntos!G19),NºAsuntos!I19/NºAsuntos!G19," - ")</f>
        <v>2.4851851851851854</v>
      </c>
      <c r="D19" s="809">
        <f>IF(ISNUMBER('Resol  Asuntos'!D19/NºAsuntos!G19),'Resol  Asuntos'!D19/NºAsuntos!G19," - ")</f>
        <v>0.13333333333333333</v>
      </c>
      <c r="E19" s="810">
        <f>IF(ISNUMBER((NºAsuntos!C19+NºAsuntos!E19)/NºAsuntos!G19),(NºAsuntos!C19+NºAsuntos!E19)/NºAsuntos!G19," - ")</f>
        <v>3.4851851851851854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64omeybX5ezLnFJepZOB48cBqUXEQVtY/znTDbGLMmuw454VeCRDZBzlJlNEyN9XH9WsQzpKlgyxhqst9FbPg==" saltValue="jgychGuC3CVvvysD/QjT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VIELHA E MIJARAN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45</v>
      </c>
      <c r="Y12" s="333">
        <f t="shared" si="0"/>
        <v>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v>
      </c>
      <c r="AJ12" s="228" t="str">
        <f>IF(ISNUMBER(Datos!BW12),Datos!BW12," - ")</f>
        <v xml:space="preserve"> - </v>
      </c>
      <c r="AK12" s="227" t="str">
        <f>IF(ISNUMBER(Datos!BX12),Datos!BX12," - ")</f>
        <v xml:space="preserve"> - </v>
      </c>
      <c r="AL12" s="242">
        <f>IF(ISNUMBER(NºAsuntos!G12/NºAsuntos!E12),NºAsuntos!G12/NºAsuntos!E12," - ")</f>
        <v>1.4534883720930232</v>
      </c>
      <c r="AM12" s="259">
        <f>IF(ISNUMBER(((NºAsuntos!I12/NºAsuntos!G12)*11)/factor_trimestre),((NºAsuntos!I12/NºAsuntos!G12)*11)/factor_trimestre," - ")</f>
        <v>5.9039999999999999</v>
      </c>
      <c r="AN12" s="243">
        <f>IF(ISNUMBER('Resol  Asuntos'!D12/NºAsuntos!G12),'Resol  Asuntos'!D12/NºAsuntos!G12," - ")</f>
        <v>0.184</v>
      </c>
      <c r="AO12" s="244">
        <f>IF(ISNUMBER((NºAsuntos!C12+NºAsuntos!E12)/NºAsuntos!G12),(NºAsuntos!C12+NºAsuntos!E12)/NºAsuntos!G12," - ")</f>
        <v>3.952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105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45</v>
      </c>
      <c r="Y13" s="867">
        <f t="shared" si="4"/>
        <v>45</v>
      </c>
      <c r="Z13" s="867">
        <f t="shared" si="4"/>
        <v>0</v>
      </c>
      <c r="AA13" s="867">
        <f t="shared" si="4"/>
        <v>1</v>
      </c>
      <c r="AB13" s="867">
        <f t="shared" si="4"/>
        <v>499</v>
      </c>
      <c r="AC13" s="867">
        <f t="shared" si="4"/>
        <v>1</v>
      </c>
      <c r="AD13" s="867">
        <f t="shared" si="4"/>
        <v>0</v>
      </c>
      <c r="AE13" s="871">
        <f t="shared" si="4"/>
        <v>0</v>
      </c>
      <c r="AF13" s="864">
        <f t="shared" si="4"/>
        <v>0</v>
      </c>
      <c r="AG13" s="872">
        <f t="shared" si="4"/>
        <v>0</v>
      </c>
      <c r="AH13" s="869">
        <f t="shared" si="4"/>
        <v>0</v>
      </c>
      <c r="AI13" s="864">
        <f t="shared" si="4"/>
        <v>23</v>
      </c>
      <c r="AJ13" s="866">
        <f t="shared" si="4"/>
        <v>0</v>
      </c>
      <c r="AK13" s="869">
        <f>SUBTOTAL(9,AK9:AK12)</f>
        <v>0</v>
      </c>
      <c r="AL13" s="873">
        <f>IF(ISNUMBER(NºAsuntos!G13/NºAsuntos!E13),NºAsuntos!G13/NºAsuntos!E13," - ")</f>
        <v>1.4534883720930232</v>
      </c>
      <c r="AM13" s="873">
        <f>IF(ISNUMBER(((NºAsuntos!I13/NºAsuntos!G13)*11)/factor_trimestre),((NºAsuntos!I13/NºAsuntos!G13)*11)/factor_trimestre," - ")</f>
        <v>5.9200000000000008</v>
      </c>
      <c r="AN13" s="874">
        <f>IF(ISNUMBER('Resol  Asuntos'!D13/NºAsuntos!G13),'Resol  Asuntos'!D13/NºAsuntos!G13," - ")</f>
        <v>0.184</v>
      </c>
      <c r="AO13" s="875">
        <f>IF(ISNUMBER((NºAsuntos!C13+NºAsuntos!E13)/NºAsuntos!G13),(NºAsuntos!C13+NºAsuntos!E13)/NºAsuntos!G13," - ")</f>
        <v>3.96</v>
      </c>
      <c r="AP13" s="876" t="str">
        <f t="shared" si="2"/>
        <v xml:space="preserve"> - </v>
      </c>
      <c r="AQ13" s="876">
        <f>IF(ISNUMBER((H13-W13+K13)/(F13)),(H13-W13+K13)/(F13)," - ")</f>
        <v>0</v>
      </c>
      <c r="AR13" s="877">
        <f>IF(ISNUMBER((Datos!P13-Datos!Q13)/(Datos!R13-Datos!P13+Datos!Q13)),(Datos!P13-Datos!Q13)/(Datos!R13-Datos!P13+Datos!Q13)," - ")</f>
        <v>0.1366742596810934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274</v>
      </c>
      <c r="G16" s="332">
        <f>IF(ISNUMBER(IF(D_I="SI",Datos!I16,Datos!I16+Datos!AC16)),IF(D_I="SI",Datos!I16,Datos!I16+Datos!AC16)," - ")</f>
        <v>274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127</v>
      </c>
      <c r="X16" s="225">
        <f>IF(ISNUMBER(Datos!Q16),Datos!Q16," - ")</f>
        <v>7</v>
      </c>
      <c r="Y16" s="333">
        <f t="shared" ref="Y16:Y17" si="7">SUM(W16:X16)</f>
        <v>134</v>
      </c>
      <c r="Z16" s="334" t="str">
        <f>IF(ISNUMBER(Datos!CC16),Datos!CC16," - ")</f>
        <v xml:space="preserve"> - </v>
      </c>
      <c r="AA16" s="331">
        <f>IF(ISNUMBER(IF(D_I="SI",Datos!L16,Datos!L16+Datos!AF16)),IF(D_I="SI",Datos!L16,Datos!L16+Datos!AF16)," - ")</f>
        <v>270</v>
      </c>
      <c r="AB16" s="333">
        <f>IF(ISNUMBER(Datos!R16),Datos!R16," - ")</f>
        <v>47</v>
      </c>
      <c r="AC16" s="333">
        <f t="shared" si="6"/>
        <v>317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1.032520325203252</v>
      </c>
      <c r="AM16" s="259">
        <f>IF(ISNUMBER(((NºAsuntos!I16/NºAsuntos!G16)*11)/factor_trimestre),((NºAsuntos!I16/NºAsuntos!G16)*11)/factor_trimestre," - ")</f>
        <v>4.2519685039370083</v>
      </c>
      <c r="AN16" s="243">
        <f>IF(ISNUMBER('Resol  Asuntos'!D16/NºAsuntos!G16),'Resol  Asuntos'!D16/NºAsuntos!G16," - ")</f>
        <v>0.10236220472440945</v>
      </c>
      <c r="AO16" s="244">
        <f>IF(ISNUMBER((NºAsuntos!C16+NºAsuntos!E16)/NºAsuntos!G16),(NºAsuntos!C16+NºAsuntos!E16)/NºAsuntos!G16," - ")</f>
        <v>3.1259842519685042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0</v>
      </c>
      <c r="Y17" s="333">
        <f t="shared" si="7"/>
        <v>18</v>
      </c>
      <c r="Z17" s="334" t="str">
        <f>IF(ISNUMBER(Datos!CC17),Datos!CC17," - ")</f>
        <v xml:space="preserve"> - </v>
      </c>
      <c r="AA17" s="331">
        <f>IF(ISNUMBER(Datos!L17),Datos!L17,"-")</f>
        <v>31</v>
      </c>
      <c r="AB17" s="333">
        <f>IF(ISNUMBER(Datos!R17),Datos!R17," - ")</f>
        <v>0</v>
      </c>
      <c r="AC17" s="333">
        <f t="shared" si="6"/>
        <v>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1.3846153846153846</v>
      </c>
      <c r="AM17" s="259">
        <f>IF(ISNUMBER(((NºAsuntos!I17/NºAsuntos!G17)*11)/factor_trimestre),((NºAsuntos!I17/NºAsuntos!G17)*11)/factor_trimestre," - ")</f>
        <v>3.4444444444444446</v>
      </c>
      <c r="AN17" s="243">
        <f>IF(ISNUMBER('Resol  Asuntos'!D17/NºAsuntos!G17),'Resol  Asuntos'!D17/NºAsuntos!G17," - ")</f>
        <v>0</v>
      </c>
      <c r="AO17" s="244">
        <f>IF(ISNUMBER((NºAsuntos!C17+NºAsuntos!E17)/NºAsuntos!G17),(NºAsuntos!C17+NºAsuntos!E17)/NºAsuntos!G17," - ")</f>
        <v>2.7222222222222223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274</v>
      </c>
      <c r="G18" s="865">
        <f>SUBTOTAL(9,G15:G17)</f>
        <v>310</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145</v>
      </c>
      <c r="X18" s="866">
        <f t="shared" si="11"/>
        <v>7</v>
      </c>
      <c r="Y18" s="867">
        <f t="shared" si="11"/>
        <v>152</v>
      </c>
      <c r="Z18" s="867">
        <f t="shared" si="11"/>
        <v>0</v>
      </c>
      <c r="AA18" s="867">
        <f t="shared" si="11"/>
        <v>301</v>
      </c>
      <c r="AB18" s="867">
        <f t="shared" si="11"/>
        <v>47</v>
      </c>
      <c r="AC18" s="867">
        <f t="shared" si="11"/>
        <v>348</v>
      </c>
      <c r="AD18" s="867">
        <f t="shared" si="11"/>
        <v>0</v>
      </c>
      <c r="AE18" s="871">
        <f t="shared" si="11"/>
        <v>0</v>
      </c>
      <c r="AF18" s="864">
        <f t="shared" si="11"/>
        <v>0</v>
      </c>
      <c r="AG18" s="872">
        <f t="shared" si="11"/>
        <v>0</v>
      </c>
      <c r="AH18" s="869">
        <f t="shared" si="11"/>
        <v>0</v>
      </c>
      <c r="AI18" s="864">
        <f t="shared" si="11"/>
        <v>13</v>
      </c>
      <c r="AJ18" s="866">
        <f t="shared" si="11"/>
        <v>0</v>
      </c>
      <c r="AK18" s="869">
        <f t="shared" si="11"/>
        <v>0</v>
      </c>
      <c r="AL18" s="873">
        <f>IF(ISNUMBER(NºAsuntos!G18/NºAsuntos!E18),NºAsuntos!G18/NºAsuntos!E18," - ")</f>
        <v>1.0661764705882353</v>
      </c>
      <c r="AM18" s="873">
        <f>IF(ISNUMBER(((NºAsuntos!I18/NºAsuntos!G18)*11)/factor_trimestre),((NºAsuntos!I18/NºAsuntos!G18)*11)/factor_trimestre," - ")</f>
        <v>4.1517241379310343</v>
      </c>
      <c r="AN18" s="874">
        <f>IF(ISNUMBER('Resol  Asuntos'!D18/NºAsuntos!G18),'Resol  Asuntos'!D18/NºAsuntos!G18," - ")</f>
        <v>8.9655172413793102E-2</v>
      </c>
      <c r="AO18" s="875">
        <f>IF(ISNUMBER((NºAsuntos!C18+NºAsuntos!E18)/NºAsuntos!G18),(NºAsuntos!C18+NºAsuntos!E18)/NºAsuntos!G18," - ")</f>
        <v>3.0758620689655172</v>
      </c>
      <c r="AP18" s="876" t="str">
        <f t="shared" si="2"/>
        <v xml:space="preserve"> - </v>
      </c>
      <c r="AQ18" s="876">
        <f>IF(ISNUMBER((H18-W18+K18)/(F18)),(H18-W18+K18)/(F18)," - ")</f>
        <v>-0.52919708029197077</v>
      </c>
      <c r="AR18" s="877">
        <f>IF(ISNUMBER((Datos!P18-Datos!Q18)/(Datos!R18-Datos!P18+Datos!Q18)),(Datos!P18-Datos!Q18)/(Datos!R18-Datos!P18+Datos!Q18)," - ")</f>
        <v>-9.6153846153846159E-2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275</v>
      </c>
      <c r="G19" s="820">
        <f t="shared" si="13"/>
        <v>311</v>
      </c>
      <c r="H19" s="819">
        <f t="shared" si="13"/>
        <v>0</v>
      </c>
      <c r="I19" s="821">
        <f t="shared" si="13"/>
        <v>0</v>
      </c>
      <c r="J19" s="821">
        <f t="shared" si="13"/>
        <v>0</v>
      </c>
      <c r="K19" s="880">
        <f t="shared" si="13"/>
        <v>0</v>
      </c>
      <c r="L19" s="821">
        <f t="shared" si="13"/>
        <v>107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145</v>
      </c>
      <c r="X19" s="820">
        <f t="shared" si="14"/>
        <v>52</v>
      </c>
      <c r="Y19" s="827">
        <f t="shared" si="14"/>
        <v>197</v>
      </c>
      <c r="Z19" s="827">
        <f t="shared" si="14"/>
        <v>0</v>
      </c>
      <c r="AA19" s="827">
        <f t="shared" si="14"/>
        <v>302</v>
      </c>
      <c r="AB19" s="827">
        <f t="shared" si="14"/>
        <v>546</v>
      </c>
      <c r="AC19" s="827">
        <f t="shared" si="14"/>
        <v>349</v>
      </c>
      <c r="AD19" s="827">
        <f t="shared" si="14"/>
        <v>0</v>
      </c>
      <c r="AE19" s="829">
        <f t="shared" si="14"/>
        <v>0</v>
      </c>
      <c r="AF19" s="830">
        <f t="shared" si="14"/>
        <v>0</v>
      </c>
      <c r="AG19" s="831">
        <f t="shared" si="14"/>
        <v>0</v>
      </c>
      <c r="AH19" s="829">
        <f t="shared" si="14"/>
        <v>0</v>
      </c>
      <c r="AI19" s="819">
        <f t="shared" si="14"/>
        <v>36</v>
      </c>
      <c r="AJ19" s="819">
        <f t="shared" si="14"/>
        <v>0</v>
      </c>
      <c r="AK19" s="829">
        <f t="shared" si="14"/>
        <v>0</v>
      </c>
      <c r="AL19" s="883">
        <f>IF(ISNUMBER(NºAsuntos!G19/NºAsuntos!E19),NºAsuntos!G19/NºAsuntos!E19," - ")</f>
        <v>1.2162162162162162</v>
      </c>
      <c r="AM19" s="884">
        <f>IF(ISNUMBER(((NºAsuntos!I19/NºAsuntos!G19)*11)/factor_trimestre),((NºAsuntos!I19/NºAsuntos!G19)*11)/factor_trimestre," - ")</f>
        <v>4.9703703703703708</v>
      </c>
      <c r="AN19" s="884">
        <f>IF(ISNUMBER('Resol  Asuntos'!D19/NºAsuntos!G19),'Resol  Asuntos'!D19/NºAsuntos!G19," - ")</f>
        <v>0.13333333333333333</v>
      </c>
      <c r="AO19" s="885">
        <f>IF(ISNUMBER((NºAsuntos!C19+NºAsuntos!E19)/NºAsuntos!G19),(NºAsuntos!C19+NºAsuntos!E19)/NºAsuntos!G19," - ")</f>
        <v>3.4851851851851854</v>
      </c>
      <c r="AP19" s="886" t="str">
        <f t="shared" si="2"/>
        <v xml:space="preserve"> - </v>
      </c>
      <c r="AQ19" s="887">
        <f>IF(OR(ISNUMBER(FIND("01",Criterios!A8,1)),ISNUMBER(FIND("02",Criterios!A8,1)),ISNUMBER(FIND("03",Criterios!A8,1)),ISNUMBER(FIND("04",Criterios!A8,1))),(I19-W19+K19)/(F19-K19),(H19-W19+K19)/(F19-K19))</f>
        <v>-0.52727272727272723</v>
      </c>
      <c r="AR19" s="888">
        <f>IF(ISNUMBER((Datos!P19-Datos!Q19)/(Datos!R19-Datos!P19+Datos!Q19)),(Datos!P19-Datos!Q19)/(Datos!R19-Datos!P19+Datos!Q19)," - ")</f>
        <v>0.11201629327902241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157.61662348876783</v>
      </c>
      <c r="G21" s="252">
        <f>IF(ISNUMBER(STDEV(G8:G18)),STDEV(G8:G18),"-")</f>
        <v>154.18916952886153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71.864455748304394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10.315037566582102</v>
      </c>
      <c r="AJ21" s="251">
        <f t="shared" si="18"/>
        <v>0</v>
      </c>
      <c r="AK21" s="253">
        <f t="shared" si="18"/>
        <v>0</v>
      </c>
      <c r="AL21" s="248">
        <f t="shared" si="18"/>
        <v>0.21100274842504768</v>
      </c>
      <c r="AM21" s="249">
        <f t="shared" si="18"/>
        <v>1.1191345048944605</v>
      </c>
      <c r="AN21" s="249">
        <f t="shared" si="18"/>
        <v>7.6655362430228122E-2</v>
      </c>
      <c r="AO21" s="250">
        <f t="shared" si="18"/>
        <v>0.55956725244722949</v>
      </c>
      <c r="AP21" s="290" t="str">
        <f t="shared" si="18"/>
        <v>-</v>
      </c>
      <c r="AQ21" s="291">
        <f t="shared" si="18"/>
        <v>0.3741988440585744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4Tcc8lWW4Cn7vT5I7OXZdVVHISWvKyLKMz2TviGHZd/Xb4BcTjK8KijKKCw93ShUaNHq80ddpad90qJSysS8gA==" saltValue="9LC25sw1r2Ee8FM0N7pv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VIELHA E MIJARAN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-0.5490196078431373</v>
      </c>
      <c r="I12" s="349">
        <f>IF(ISNUMBER((Tasas!C12-Datos!BE12)/Datos!BE12),(Tasas!C12-Datos!BE12)/Datos!BE12," - ")</f>
        <v>8.7578947368420992E-2</v>
      </c>
      <c r="J12" s="348">
        <f>IF(ISNUMBER((Tasas!D12-Datos!BF12)/Datos!BF12),(Tasas!D12-Datos!BF12)/Datos!BF12," - ")</f>
        <v>-0.22120930232558139</v>
      </c>
      <c r="K12" s="350">
        <f>IF(ISNUMBER((Tasas!E12-Datos!BG12)/Datos!BG12),(Tasas!E12-Datos!BG12)/Datos!BG12," - ")</f>
        <v>6.3999999999999946E-2</v>
      </c>
      <c r="M12" t="e">
        <f>IF(Monitorios="SI",Datos!CE12,0)</f>
        <v>#REF!</v>
      </c>
      <c r="N12" t="e">
        <f>IF(Monitorios="SI",Datos!CF12,0)</f>
        <v>#REF!</v>
      </c>
      <c r="O12" t="e">
        <f>IF(Monitorios="SI",Datos!CG12,0)</f>
        <v>#REF!</v>
      </c>
      <c r="P12" t="e">
        <f>IF(Monitorios="SI",Datos!CH12,0)</f>
        <v>#REF!</v>
      </c>
      <c r="Q12">
        <f>IF(J_V="SI",0,Datos!AG12)</f>
        <v>17</v>
      </c>
      <c r="R12">
        <f>IF(J_V="SI",0,Datos!AH12)</f>
        <v>2</v>
      </c>
      <c r="S12">
        <f>IF(J_V="SI",0,Datos!AI12)</f>
        <v>8</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-0.5490196078431373</v>
      </c>
      <c r="I13" s="356">
        <f>IF(ISNUMBER((Tasas!C13-Datos!BE13)/Datos!BE13),(Tasas!C13-Datos!BE13)/Datos!BE13," - ")</f>
        <v>8.8323232323232262E-2</v>
      </c>
      <c r="J13" s="354">
        <f>IF(ISNUMBER((Tasas!D13-Datos!BF13)/Datos!BF13),(Tasas!D13-Datos!BF13)/Datos!BF13," - ")</f>
        <v>-0.22120930232558139</v>
      </c>
      <c r="K13" s="357">
        <f>IF(ISNUMBER((Tasas!E13-Datos!BG13)/Datos!BG13),(Tasas!E13-Datos!BG13)/Datos!BG13," - ")</f>
        <v>6.4579025110782826E-2</v>
      </c>
      <c r="M13" t="e">
        <f>IF(Monitorios="SI",Datos!CE13,0)</f>
        <v>#REF!</v>
      </c>
      <c r="N13" t="e">
        <f>IF(Monitorios="SI",Datos!CF13,0)</f>
        <v>#REF!</v>
      </c>
      <c r="O13" t="e">
        <f>IF(Monitorios="SI",Datos!CG13,0)</f>
        <v>#REF!</v>
      </c>
      <c r="P13" t="e">
        <f>IF(Monitorios="SI",Datos!CH13,0)</f>
        <v>#REF!</v>
      </c>
      <c r="Q13">
        <f>IF(J_V="SI",0,Datos!AG13)</f>
        <v>17</v>
      </c>
      <c r="R13">
        <f>IF(J_V="SI",0,Datos!AH13)</f>
        <v>2</v>
      </c>
      <c r="S13">
        <f>IF(J_V="SI",0,Datos!AI13)</f>
        <v>8</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-0.20116618075801748</v>
      </c>
      <c r="E16" s="347">
        <f>IF(ISNUMBER(
   IF(D_I="SI",(Datos!J16-Datos!T16)/Datos!T16,(Datos!J16+Datos!AD16-(Datos!T16+Datos!AL16))/(Datos!T16+Datos!AL16))
     ),IF(D_I="SI",(Datos!J16-Datos!T16)/Datos!T16,(Datos!J16+Datos!AD16-(Datos!T16+Datos!AL16))/(Datos!T16+Datos!AL16))," - ")</f>
        <v>-0.13986013986013987</v>
      </c>
      <c r="F16" s="347">
        <f>IF(ISNUMBER(
   IF(D_I="SI",(Datos!K16-Datos!U16)/Datos!U16,(Datos!K16+Datos!AE16-(Datos!U16+Datos!AM16))/(Datos!U16+Datos!AM16))
     ),IF(D_I="SI",(Datos!K16-Datos!U16)/Datos!U16,(Datos!K16+Datos!AE16-(Datos!U16+Datos!AM16))/(Datos!U16+Datos!AM16))," - ")</f>
        <v>-0.25294117647058822</v>
      </c>
      <c r="G16" s="348">
        <f>IF(ISNUMBER(
   IF(D_I="SI",(Datos!L16-Datos!V16)/Datos!V16,(Datos!L16+Datos!AF16-(Datos!V16+Datos!AN16))/(Datos!V16+Datos!AN16))
     ),IF(D_I="SI",(Datos!L16-Datos!V16)/Datos!V16,(Datos!L16+Datos!AF16-(Datos!V16+Datos!AN16))/(Datos!V16+Datos!AN16))," - ")</f>
        <v>-0.14556962025316456</v>
      </c>
      <c r="H16" s="229">
        <f>IF(ISNUMBER((Datos!M16-Datos!W16)/Datos!W16),(Datos!M16-Datos!W16)/Datos!W16," - ")</f>
        <v>-0.45833333333333331</v>
      </c>
      <c r="I16" s="349">
        <f>IF(ISNUMBER((Tasas!C16-Datos!BE16)/Datos!BE16),(Tasas!C16-Datos!BE16)/Datos!BE16," - ")</f>
        <v>0.14372570517292943</v>
      </c>
      <c r="J16" s="348">
        <f>IF(ISNUMBER((Tasas!D16-Datos!BF16)/Datos!BF16),(Tasas!D16-Datos!BF16)/Datos!BF16," - ")</f>
        <v>-0.27493438320209973</v>
      </c>
      <c r="K16" s="350">
        <f>IF(ISNUMBER((Tasas!E16-Datos!BG16)/Datos!BG16),(Tasas!E16-Datos!BG16)/Datos!BG16," - ")</f>
        <v>9.3451281552768925E-2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v>
      </c>
      <c r="E17" s="347">
        <f>IF(ISNUMBER(
   IF(D_I="SI",(Datos!J17-Datos!T17)/Datos!T17,(Datos!J17+Datos!AD17-(Datos!T17+Datos!AL17))/(Datos!T17+Datos!AL17))
     ),IF(D_I="SI",(Datos!J17-Datos!T17)/Datos!T17,(Datos!J17+Datos!AD17-(Datos!T17+Datos!AL17))/(Datos!T17+Datos!AL17))," - ")</f>
        <v>1.6</v>
      </c>
      <c r="F17" s="347">
        <f>IF(ISNUMBER(
   IF(D_I="SI",(Datos!K17-Datos!U17)/Datos!U17,(Datos!K17+Datos!AE17-(Datos!U17+Datos!AM17))/(Datos!U17+Datos!AM17))
     ),IF(D_I="SI",(Datos!K17-Datos!U17)/Datos!U17,(Datos!K17+Datos!AE17-(Datos!U17+Datos!AM17))/(Datos!U17+Datos!AM17))," - ")</f>
        <v>1.25</v>
      </c>
      <c r="G17" s="348">
        <f>IF(ISNUMBER(
   IF(D_I="SI",(Datos!L17-Datos!V17)/Datos!V17,(Datos!L17+Datos!AF17-(Datos!V17+Datos!AN17))/(Datos!V17+Datos!AN17))
     ),IF(D_I="SI",(Datos!L17-Datos!V17)/Datos!V17,(Datos!L17+Datos!AF17-(Datos!V17+Datos!AN17))/(Datos!V17+Datos!AN17))," - ")</f>
        <v>-0.31111111111111112</v>
      </c>
      <c r="H17" s="229" t="str">
        <f>IF(ISNUMBER((Datos!M17-Datos!W17)/Datos!W17),(Datos!M17-Datos!W17)/Datos!W17," - ")</f>
        <v xml:space="preserve"> - </v>
      </c>
      <c r="I17" s="349">
        <f>IF(ISNUMBER((Tasas!C17-Datos!BE17)/Datos!BE17),(Tasas!C17-Datos!BE17)/Datos!BE17," - ")</f>
        <v>-0.69382716049382709</v>
      </c>
      <c r="J17" s="348" t="str">
        <f>IF(ISNUMBER((Tasas!D17-Datos!BF17)/Datos!BF17),(Tasas!D17-Datos!BF17)/Datos!BF17," - ")</f>
        <v xml:space="preserve"> - </v>
      </c>
      <c r="K17" s="350">
        <f>IF(ISNUMBER((Tasas!E17-Datos!BG17)/Datos!BG17),(Tasas!E17-Datos!BG17)/Datos!BG17," - ")</f>
        <v>-0.58909853249475885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-0.20716112531969311</v>
      </c>
      <c r="E18" s="353">
        <f>IF(ISNUMBER(
   IF(D_I="SI",(Datos!J18-Datos!T18)/Datos!T18,(Datos!J18+Datos!AD18-(Datos!T18+Datos!AL18))/(Datos!T18+Datos!AL18))
     ),IF(D_I="SI",(Datos!J18-Datos!T18)/Datos!T18,(Datos!J18+Datos!AD18-(Datos!T18+Datos!AL18))/(Datos!T18+Datos!AL18))," - ")</f>
        <v>-8.1081081081081086E-2</v>
      </c>
      <c r="F18" s="353">
        <f>IF(ISNUMBER(
   IF(D_I="SI",(Datos!K18-Datos!U18)/Datos!U18,(Datos!K18+Datos!AE18-(Datos!U18+Datos!AM18))/(Datos!U18+Datos!AM18))
     ),IF(D_I="SI",(Datos!K18-Datos!U18)/Datos!U18,(Datos!K18+Datos!AE18-(Datos!U18+Datos!AM18))/(Datos!U18+Datos!AM18))," - ")</f>
        <v>-0.1853932584269663</v>
      </c>
      <c r="G18" s="354">
        <f>IF(ISNUMBER(
   IF(D_I="SI",(Datos!L18-Datos!V18)/Datos!V18,(Datos!L18+Datos!AF18-(Datos!V18+Datos!AN18))/(Datos!V18+Datos!AN18))
     ),IF(D_I="SI",(Datos!L18-Datos!V18)/Datos!V18,(Datos!L18+Datos!AF18-(Datos!V18+Datos!AN18))/(Datos!V18+Datos!AN18))," - ")</f>
        <v>-0.16620498614958448</v>
      </c>
      <c r="H18" s="355">
        <f>IF(ISNUMBER((Datos!M18-Datos!W18)/Datos!W18),(Datos!M18-Datos!W18)/Datos!W18," - ")</f>
        <v>-0.45833333333333331</v>
      </c>
      <c r="I18" s="356">
        <f>IF(ISNUMBER((Tasas!C18-Datos!BE18)/Datos!BE18),(Tasas!C18-Datos!BE18)/Datos!BE18," - ")</f>
        <v>2.3555258381889262E-2</v>
      </c>
      <c r="J18" s="354">
        <f>IF(ISNUMBER((Tasas!D18-Datos!BF18)/Datos!BF18),(Tasas!D18-Datos!BF18)/Datos!BF18," - ")</f>
        <v>-0.3350574712643678</v>
      </c>
      <c r="K18" s="357">
        <f>IF(ISNUMBER((Tasas!E18-Datos!BG18)/Datos!BG18),(Tasas!E18-Datos!BG18)/Datos!BG18," - ")</f>
        <v>1.5776341884716185E-2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-0.26632653061224487</v>
      </c>
      <c r="E19" s="362">
        <f>IF(ISNUMBER(
   IF(J_V="SI",(Datos!J19-Datos!T19)/Datos!T19,(Datos!J19+Datos!Z19-(Datos!T19+Datos!AH19))/(Datos!T19+Datos!AH19))
     ),IF(J_V="SI",(Datos!J19-Datos!T19)/Datos!T19,(Datos!J19+Datos!Z19-(Datos!T19+Datos!AH19))/(Datos!T19+Datos!AH19))," - ")</f>
        <v>-5.9322033898305086E-2</v>
      </c>
      <c r="F19" s="362">
        <f>IF(ISNUMBER(
   IF(J_V="SI",(Datos!K19-Datos!U19)/Datos!U19,(Datos!K19+Datos!AA19-(Datos!U19+Datos!AI19))/(Datos!U19+Datos!AI19))
     ),IF(J_V="SI",(Datos!K19-Datos!U19)/Datos!U19,(Datos!K19+Datos!AA19-(Datos!U19+Datos!AI19))/(Datos!U19+Datos!AI19))," - ")</f>
        <v>-0.25</v>
      </c>
      <c r="G19" s="363">
        <f>IF(ISNUMBER(
   IF(J_V="SI",(Datos!L19-Datos!V19)/Datos!V19,(Datos!L19+Datos!AB19-(Datos!V19+Datos!AJ19))/(Datos!V19+Datos!AJ19))
     ),IF(J_V="SI",(Datos!L19-Datos!V19)/Datos!V19,(Datos!L19+Datos!AB19-(Datos!V19+Datos!AJ19))/(Datos!V19+Datos!AJ19))," - ")</f>
        <v>-0.21612149532710281</v>
      </c>
      <c r="H19" s="364">
        <f>IF(ISNUMBER((Datos!M19-Datos!W19)/Datos!W19),(Datos!M19-Datos!W19)/Datos!W19," - ")</f>
        <v>-0.52</v>
      </c>
      <c r="I19" s="361">
        <f>IF(ISNUMBER((Tasas!C19-Datos!BE19)/Datos!BE19),(Tasas!C19-Datos!BE19)/Datos!BE19," - ")</f>
        <v>4.5171339563863017E-2</v>
      </c>
      <c r="J19" s="362">
        <f>IF(ISNUMBER((Tasas!D19-Datos!BF19)/Datos!BF19),(Tasas!D19-Datos!BF19)/Datos!BF19," - ")</f>
        <v>-0.28358208955223885</v>
      </c>
      <c r="K19" s="363">
        <f>IF(ISNUMBER((Tasas!E19-Datos!BG19)/Datos!BG19),(Tasas!E19-Datos!BG19)/Datos!BG19," - ")</f>
        <v>3.1798245614035152E-2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0.11185534355080377</v>
      </c>
      <c r="E21" s="277">
        <f t="shared" si="1"/>
        <v>0.9879778915537395</v>
      </c>
      <c r="F21" s="277">
        <f t="shared" si="1"/>
        <v>0.84889621543708227</v>
      </c>
      <c r="G21" s="278">
        <f t="shared" si="1"/>
        <v>0.12728980182734614</v>
      </c>
      <c r="H21" s="284">
        <f t="shared" si="1"/>
        <v>5.2357745000039632E-2</v>
      </c>
      <c r="I21" s="276">
        <f t="shared" si="1"/>
        <v>0.35124381745011968</v>
      </c>
      <c r="J21" s="277">
        <f t="shared" si="1"/>
        <v>5.4245096160812196E-2</v>
      </c>
      <c r="K21" s="278">
        <f t="shared" si="1"/>
        <v>0.2913779199396897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3qASCVexCDxCvIpyFgt6fBtHhKb/O2fsHba0oEEMksQ5TRKM9YWVHONP/Xer+MpL7n50hMLfvDCqQKHBAwkLg==" saltValue="NIrtdV97oPmLkzVEMGY8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